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50" windowWidth="10940" windowHeight="6050" firstSheet="4" activeTab="8"/>
  </bookViews>
  <sheets>
    <sheet name="GUIDE" sheetId="1" r:id="rId1"/>
    <sheet name=" CH5 Figure 1" sheetId="2" r:id="rId2"/>
    <sheet name="CH5 Figure 2" sheetId="3" r:id="rId3"/>
    <sheet name="CH5 Figure 3" sheetId="4" r:id="rId4"/>
    <sheet name="CH5 Figure 4" sheetId="5" r:id="rId5"/>
    <sheet name="CH5  Figure 5" sheetId="6" r:id="rId6"/>
    <sheet name="CH5 Figure 5A" sheetId="7" r:id="rId7"/>
    <sheet name="CH5 Figure 6" sheetId="8" r:id="rId8"/>
    <sheet name="CH5 Figure 7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<sst xmlns="http://schemas.openxmlformats.org/spreadsheetml/2006/main" count="376" uniqueCount="142">
  <si>
    <t>r</t>
  </si>
  <si>
    <t>s</t>
  </si>
  <si>
    <t>P</t>
  </si>
  <si>
    <t xml:space="preserve"> </t>
  </si>
  <si>
    <t>b1</t>
  </si>
  <si>
    <t>a</t>
  </si>
  <si>
    <t>V</t>
  </si>
  <si>
    <t>A</t>
  </si>
  <si>
    <t>w</t>
  </si>
  <si>
    <t>F(V,I)</t>
  </si>
  <si>
    <t>z*</t>
  </si>
  <si>
    <t>z</t>
  </si>
  <si>
    <r>
      <t>d</t>
    </r>
    <r>
      <rPr>
        <vertAlign val="subscript"/>
        <sz val="10"/>
        <rFont val="Tahoma"/>
        <family val="2"/>
      </rPr>
      <t>V</t>
    </r>
  </si>
  <si>
    <r>
      <t>s</t>
    </r>
    <r>
      <rPr>
        <vertAlign val="subscript"/>
        <sz val="10"/>
        <rFont val="Tahoma"/>
        <family val="2"/>
      </rPr>
      <t>V</t>
    </r>
  </si>
  <si>
    <t>ODE</t>
  </si>
  <si>
    <t>F''(V)</t>
  </si>
  <si>
    <t>INPUT</t>
  </si>
  <si>
    <t>OUTPUT</t>
  </si>
  <si>
    <t>F'(V)</t>
  </si>
  <si>
    <t>K</t>
  </si>
  <si>
    <t xml:space="preserve">                           American Perpetual Exchange Option</t>
  </si>
  <si>
    <t>Stochastic R and K</t>
  </si>
  <si>
    <t>R</t>
  </si>
  <si>
    <r>
      <t>s</t>
    </r>
    <r>
      <rPr>
        <vertAlign val="subscript"/>
        <sz val="10"/>
        <rFont val="Tahoma"/>
        <family val="2"/>
      </rPr>
      <t>R</t>
    </r>
  </si>
  <si>
    <t>sk</t>
  </si>
  <si>
    <r>
      <t>d</t>
    </r>
    <r>
      <rPr>
        <vertAlign val="subscript"/>
        <sz val="10"/>
        <rFont val="Tahoma"/>
        <family val="2"/>
      </rPr>
      <t>R</t>
    </r>
  </si>
  <si>
    <t>dk</t>
  </si>
  <si>
    <t>F(V,K)=W(Z)</t>
  </si>
  <si>
    <t>V-K</t>
  </si>
  <si>
    <r>
      <t>b</t>
    </r>
    <r>
      <rPr>
        <vertAlign val="subscript"/>
        <sz val="10"/>
        <rFont val="Symbol"/>
        <family val="1"/>
      </rPr>
      <t>1</t>
    </r>
  </si>
  <si>
    <t>0.5-(B8-B7)/(B15^2)+SQRT(((B8-B7)/(B15^2)-0.5)^2 + (2*B8)/(B15^2))</t>
  </si>
  <si>
    <t>h</t>
  </si>
  <si>
    <t>SQRT(B5^2+B6^2-2*B9*B5*B6)</t>
  </si>
  <si>
    <t>Z*</t>
  </si>
  <si>
    <t>Z</t>
  </si>
  <si>
    <t>B3/B4</t>
  </si>
  <si>
    <t>W'(Z)</t>
  </si>
  <si>
    <t>W''(Z)</t>
  </si>
  <si>
    <t>W(Z*)</t>
  </si>
  <si>
    <t>W'(Z*)</t>
  </si>
  <si>
    <t>W(Z)</t>
  </si>
  <si>
    <t>b</t>
  </si>
  <si>
    <t>c</t>
  </si>
  <si>
    <r>
      <t>b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-4ac</t>
    </r>
  </si>
  <si>
    <t>B25^2-4*B24*B26</t>
  </si>
  <si>
    <t>B3/B7-B4</t>
  </si>
  <si>
    <t>(B14/(B14-1))*B7</t>
  </si>
  <si>
    <t>(((B14-1)^(B14-1))*B4^-(B14-1))/((B7*(B14^B14)))</t>
  </si>
  <si>
    <t>IF(B17&lt;B16,B13*B4*B3*((B17/B7)^B14),B12)</t>
  </si>
  <si>
    <t>B14*B13*B4*B3*((B17/B7)^(B14-1))</t>
  </si>
  <si>
    <t>B14*(B14-1)*B13*B4*B3*((B17/B7)^(B14-2))</t>
  </si>
  <si>
    <t>0.5*(B15^2)*((B17/B7)^2)*B20+(B8-B7)*(B17/B7)*B19-B8*B11</t>
  </si>
  <si>
    <t>B13*B4*B3*((B17/B7)^B14)</t>
  </si>
  <si>
    <t>B13*B4*B3*((B16/B7)^B14)</t>
  </si>
  <si>
    <t>B14*B13*B4*B3*((B16/B7)^(B14-1))</t>
  </si>
  <si>
    <t>0.5*(B15^2)*(B17/B7)^2</t>
  </si>
  <si>
    <t>(B8-B7)*B17/B7</t>
  </si>
  <si>
    <t>-B8</t>
  </si>
  <si>
    <t>McDonald &amp; Siegel 86</t>
  </si>
  <si>
    <t>EQ</t>
  </si>
  <si>
    <t>Stochastic V and K</t>
  </si>
  <si>
    <t>IF(B17&lt;B16,B4*B13*(B17^B14),B12)</t>
  </si>
  <si>
    <t>B3-B4</t>
  </si>
  <si>
    <t>(B16-1)/(B16^B14)</t>
  </si>
  <si>
    <t>(B14/(B14-1))</t>
  </si>
  <si>
    <t>0.5*(B15^2)*(B17^2)*B20+(B8-B7)*B17*B19-B8*B11</t>
  </si>
  <si>
    <t>B4*B13*B14*(B17^(B14-1))</t>
  </si>
  <si>
    <t>B4*B13*B14*(B14-1)*(B17^(B14-2))</t>
  </si>
  <si>
    <t>B13*B4*((B16^B14))</t>
  </si>
  <si>
    <t>(B16-1)*B4</t>
  </si>
  <si>
    <t>B4*(B16-1)*((B17/B16)^B14)</t>
  </si>
  <si>
    <t>0.5*(B15^2)*(B17^2)</t>
  </si>
  <si>
    <t>(B8-B7)*B17</t>
  </si>
  <si>
    <t>-B7</t>
  </si>
  <si>
    <t>American Multi-factor Perpetual Real Option</t>
  </si>
  <si>
    <t>Stochastic P &amp; Q</t>
  </si>
  <si>
    <t>Q</t>
  </si>
  <si>
    <t>X</t>
  </si>
  <si>
    <t>m</t>
  </si>
  <si>
    <t>n</t>
  </si>
  <si>
    <t>B10-B11-B12</t>
  </si>
  <si>
    <t>H(P,Q)</t>
  </si>
  <si>
    <t>IF(B5&lt;B19,(B6/(B17-1))*((B5/B19)^B17),B16)</t>
  </si>
  <si>
    <r>
      <t>X/</t>
    </r>
    <r>
      <rPr>
        <sz val="10"/>
        <rFont val="Symbol"/>
        <family val="1"/>
      </rPr>
      <t>n</t>
    </r>
    <r>
      <rPr>
        <sz val="10"/>
        <rFont val="Tahoma"/>
        <family val="2"/>
      </rPr>
      <t>-K</t>
    </r>
  </si>
  <si>
    <t>B5/B14-B6</t>
  </si>
  <si>
    <r>
      <rPr>
        <sz val="10"/>
        <rFont val="Symbol"/>
        <family val="1"/>
      </rPr>
      <t>s</t>
    </r>
    <r>
      <rPr>
        <vertAlign val="subscript"/>
        <sz val="10"/>
        <rFont val="Tahoma"/>
        <family val="2"/>
      </rPr>
      <t>X</t>
    </r>
  </si>
  <si>
    <t>SQRT(B7^2+B8^2+2*B9*B7*B8)</t>
  </si>
  <si>
    <t>X*</t>
  </si>
  <si>
    <t>B6*B14*(B17/(B17-1))</t>
  </si>
  <si>
    <t>0.5*(B18^2)*((B5/B14)^2)*B22+(B9*B7*B8+B11+B12)*(B5/B14)*B21-B10*B15</t>
  </si>
  <si>
    <t>B23*B17*((B5/B14)^(B17-1))</t>
  </si>
  <si>
    <t>B23*B17*(B17-1)*(B5/B14)^(B17-2)</t>
  </si>
  <si>
    <t>((B19/B14)-B6)/((B19/B14)^B17)</t>
  </si>
  <si>
    <t>ROV</t>
  </si>
  <si>
    <t>B23*(B5/B14)^B17</t>
  </si>
  <si>
    <t>H(X*)</t>
  </si>
  <si>
    <t>B19/B14-B6</t>
  </si>
  <si>
    <t>H'(X*)</t>
  </si>
  <si>
    <t>1/B14</t>
  </si>
  <si>
    <t>EARLY ANALYTICAL TWO FACTOR MODELS</t>
  </si>
  <si>
    <t>GUIDE TO ROV (NEW) CHAPTER 5</t>
  </si>
  <si>
    <t>(B6/(B17-1))*((B19/B19)^B17)</t>
  </si>
  <si>
    <t>(1/B14)*((B19/B19)^(B17-1))</t>
  </si>
  <si>
    <t>F(R,K) FORMULAE</t>
  </si>
  <si>
    <t>F(V,K) FORMULAE</t>
  </si>
  <si>
    <t>F(P,Q) FORMULAE</t>
  </si>
  <si>
    <t>ROV (P,Q)</t>
  </si>
  <si>
    <t>(1/B18^2)*(-(B9*B7*B8+B11+B12-0.5*(B18^2))+SQRT((B9*B7*B8+B11+B12-0.5*(B18^2))^2+(2*B10)*(B18^2)))</t>
  </si>
  <si>
    <t>INVEST OPTION, P &amp; Q, changing volatility</t>
  </si>
  <si>
    <t>INVEST OPTION, P &amp; Q, changing correlation</t>
  </si>
  <si>
    <r>
      <t xml:space="preserve">ROV </t>
    </r>
    <r>
      <rPr>
        <sz val="10"/>
        <rFont val="Symbol"/>
        <family val="1"/>
      </rPr>
      <t>r</t>
    </r>
    <r>
      <rPr>
        <sz val="10"/>
        <rFont val="Arial"/>
        <family val="0"/>
      </rPr>
      <t>=.5</t>
    </r>
  </si>
  <si>
    <r>
      <t xml:space="preserve">ROV </t>
    </r>
    <r>
      <rPr>
        <sz val="10"/>
        <rFont val="Symbol"/>
        <family val="1"/>
      </rPr>
      <t>r</t>
    </r>
    <r>
      <rPr>
        <sz val="10"/>
        <rFont val="Arial"/>
        <family val="0"/>
      </rPr>
      <t>=.0</t>
    </r>
  </si>
  <si>
    <r>
      <t xml:space="preserve">ROV </t>
    </r>
    <r>
      <rPr>
        <sz val="10"/>
        <rFont val="Symbol"/>
        <family val="1"/>
      </rPr>
      <t>r</t>
    </r>
    <r>
      <rPr>
        <sz val="10"/>
        <rFont val="Arial"/>
        <family val="0"/>
      </rPr>
      <t>=-.5</t>
    </r>
  </si>
  <si>
    <r>
      <t xml:space="preserve">ROV </t>
    </r>
    <r>
      <rPr>
        <sz val="10"/>
        <rFont val="Symbol"/>
        <family val="1"/>
      </rPr>
      <t>r</t>
    </r>
    <r>
      <rPr>
        <sz val="10"/>
        <rFont val="Arial"/>
        <family val="0"/>
      </rPr>
      <t>=.75</t>
    </r>
  </si>
  <si>
    <r>
      <t xml:space="preserve">ROV </t>
    </r>
    <r>
      <rPr>
        <sz val="10"/>
        <rFont val="Symbol"/>
        <family val="1"/>
      </rPr>
      <t>r</t>
    </r>
    <r>
      <rPr>
        <sz val="10"/>
        <rFont val="Arial"/>
        <family val="0"/>
      </rPr>
      <t>=.25</t>
    </r>
  </si>
  <si>
    <r>
      <t xml:space="preserve">ROV </t>
    </r>
    <r>
      <rPr>
        <sz val="10"/>
        <rFont val="Symbol"/>
        <family val="1"/>
      </rPr>
      <t>r</t>
    </r>
    <r>
      <rPr>
        <sz val="10"/>
        <rFont val="Arial"/>
        <family val="0"/>
      </rPr>
      <t>=-.25</t>
    </r>
  </si>
  <si>
    <t>Stochastic P &amp; Q    Paxson &amp; Pinto 2005</t>
  </si>
  <si>
    <t>STOCHASTIC V and K</t>
  </si>
  <si>
    <r>
      <t>s</t>
    </r>
    <r>
      <rPr>
        <vertAlign val="subscript"/>
        <sz val="10"/>
        <rFont val="Tahoma"/>
        <family val="2"/>
      </rPr>
      <t>K</t>
    </r>
  </si>
  <si>
    <r>
      <t>d</t>
    </r>
    <r>
      <rPr>
        <vertAlign val="subscript"/>
        <sz val="10"/>
        <rFont val="Tahoma"/>
        <family val="2"/>
      </rPr>
      <t>K</t>
    </r>
  </si>
  <si>
    <t>Figure 1</t>
  </si>
  <si>
    <t>F(R,K)=W(z)</t>
  </si>
  <si>
    <r>
      <t>R/</t>
    </r>
    <r>
      <rPr>
        <sz val="10"/>
        <rFont val="Symbol"/>
        <family val="1"/>
      </rPr>
      <t>d</t>
    </r>
    <r>
      <rPr>
        <vertAlign val="subscript"/>
        <sz val="10"/>
        <rFont val="Tahoma"/>
        <family val="2"/>
      </rPr>
      <t>R</t>
    </r>
    <r>
      <rPr>
        <sz val="10"/>
        <rFont val="Tahoma"/>
        <family val="2"/>
      </rPr>
      <t>-K</t>
    </r>
  </si>
  <si>
    <t>W'(z)</t>
  </si>
  <si>
    <t>W''(z)</t>
  </si>
  <si>
    <t>W(z*)</t>
  </si>
  <si>
    <t>W'(z*)</t>
  </si>
  <si>
    <t>W(z)</t>
  </si>
  <si>
    <t>H'(P,Q)</t>
  </si>
  <si>
    <t>H''(P,Q)</t>
  </si>
  <si>
    <t>Stochastic P &amp; Q  Paxson &amp; Pinto 2005</t>
  </si>
  <si>
    <t>Armada, Pereira &amp; Rodrigues 2013</t>
  </si>
  <si>
    <t>Figure 2</t>
  </si>
  <si>
    <t>Figure 3</t>
  </si>
  <si>
    <t>Figure 4</t>
  </si>
  <si>
    <t>Figure 5</t>
  </si>
  <si>
    <t>Figure 6</t>
  </si>
  <si>
    <t>Figure 7</t>
  </si>
  <si>
    <t>F(V,K) changing correlation</t>
  </si>
  <si>
    <t>F(R,K) changing correlation</t>
  </si>
  <si>
    <t xml:space="preserve">  </t>
  </si>
  <si>
    <t>Armada 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</si>
</sst>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0.000"/>
    <numFmt numFmtId="174" formatCode="0.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ymbol"/>
      <family val="1"/>
    </font>
    <font>
      <sz val="8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vertAlign val="subscript"/>
      <sz val="10"/>
      <name val="Tahoma"/>
      <family val="2"/>
    </font>
    <font>
      <b/>
      <sz val="12"/>
      <name val="Arial"/>
      <family val="2"/>
    </font>
    <font>
      <vertAlign val="subscript"/>
      <sz val="10"/>
      <name val="Symbol"/>
      <family val="1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.5"/>
      <color indexed="8"/>
      <name val="Arial"/>
      <family val="2"/>
    </font>
    <font>
      <sz val="10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9" fillId="0" borderId="0" xfId="0" applyFont="1" applyAlignment="1">
      <alignment horizontal="centerContinuous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1" fontId="1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F(V,K) as a Function of Correlation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2295"/>
          <c:w val="0.86475"/>
          <c:h val="0.66325"/>
        </c:manualLayout>
      </c:layout>
      <c:lineChart>
        <c:grouping val="standard"/>
        <c:varyColors val="0"/>
        <c:ser>
          <c:idx val="0"/>
          <c:order val="0"/>
          <c:tx>
            <c:strRef>
              <c:f>'CH5 Figure 2'!$A$14</c:f>
              <c:strCache>
                <c:ptCount val="1"/>
                <c:pt idx="0">
                  <c:v>F(V,I)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'CH5 Figure 2'!$B$12:$V$12</c:f>
              <c:numCache/>
            </c:numRef>
          </c:cat>
          <c:val>
            <c:numRef>
              <c:f>'CH5 Figure 2'!$B$14:$V$14</c:f>
              <c:numCache/>
            </c:numRef>
          </c:val>
          <c:smooth val="0"/>
        </c:ser>
        <c:marker val="1"/>
        <c:axId val="21783863"/>
        <c:axId val="61837040"/>
      </c:lineChart>
      <c:catAx>
        <c:axId val="21783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Correlation of V &amp; K 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37040"/>
        <c:crosses val="autoZero"/>
        <c:auto val="1"/>
        <c:lblOffset val="100"/>
        <c:tickLblSkip val="1"/>
        <c:noMultiLvlLbl val="0"/>
      </c:catAx>
      <c:valAx>
        <c:axId val="61837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83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ROV (R,K) as function of Correlation &amp; R Volatility</a:t>
            </a:r>
          </a:p>
        </c:rich>
      </c:tx>
      <c:layout>
        <c:manualLayout>
          <c:xMode val="factor"/>
          <c:yMode val="factor"/>
          <c:x val="-0.002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13"/>
          <c:w val="0.9802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'CH5 Figure 4'!$A$30</c:f>
              <c:strCache>
                <c:ptCount val="1"/>
                <c:pt idx="0">
                  <c:v>ROV r=.75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C0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'CH5 Figure 4'!$B$5:$J$5</c:f>
              <c:numCache/>
            </c:numRef>
          </c:cat>
          <c:val>
            <c:numRef>
              <c:f>'CH5 Figure 4'!$B$30:$J$30</c:f>
              <c:numCache/>
            </c:numRef>
          </c:val>
          <c:smooth val="0"/>
        </c:ser>
        <c:ser>
          <c:idx val="1"/>
          <c:order val="1"/>
          <c:tx>
            <c:strRef>
              <c:f>'CH5 Figure 4'!$A$31</c:f>
              <c:strCache>
                <c:ptCount val="1"/>
                <c:pt idx="0">
                  <c:v>ROV r=.5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'CH5 Figure 4'!$B$5:$J$5</c:f>
              <c:numCache/>
            </c:numRef>
          </c:cat>
          <c:val>
            <c:numRef>
              <c:f>'CH5 Figure 4'!$B$31:$J$31</c:f>
              <c:numCache/>
            </c:numRef>
          </c:val>
          <c:smooth val="0"/>
        </c:ser>
        <c:ser>
          <c:idx val="2"/>
          <c:order val="2"/>
          <c:tx>
            <c:strRef>
              <c:f>'CH5 Figure 4'!$A$32</c:f>
              <c:strCache>
                <c:ptCount val="1"/>
                <c:pt idx="0">
                  <c:v>ROV r=.25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'CH5 Figure 4'!$B$5:$J$5</c:f>
              <c:numCache/>
            </c:numRef>
          </c:cat>
          <c:val>
            <c:numRef>
              <c:f>'CH5 Figure 4'!$B$32:$J$32</c:f>
              <c:numCache/>
            </c:numRef>
          </c:val>
          <c:smooth val="0"/>
        </c:ser>
        <c:ser>
          <c:idx val="3"/>
          <c:order val="3"/>
          <c:tx>
            <c:strRef>
              <c:f>'CH5 Figure 4'!$A$33</c:f>
              <c:strCache>
                <c:ptCount val="1"/>
                <c:pt idx="0">
                  <c:v>ROV r=.0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9933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'CH5 Figure 4'!$B$5:$J$5</c:f>
              <c:numCache/>
            </c:numRef>
          </c:cat>
          <c:val>
            <c:numRef>
              <c:f>'CH5 Figure 4'!$B$33:$J$33</c:f>
              <c:numCache/>
            </c:numRef>
          </c:val>
          <c:smooth val="0"/>
        </c:ser>
        <c:ser>
          <c:idx val="4"/>
          <c:order val="4"/>
          <c:tx>
            <c:strRef>
              <c:f>'CH5 Figure 4'!$A$34</c:f>
              <c:strCache>
                <c:ptCount val="1"/>
                <c:pt idx="0">
                  <c:v>ROV r=-.25</c:v>
                </c:pt>
              </c:strCache>
            </c:strRef>
          </c:tx>
          <c:spPr>
            <a:ln w="254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8080FF"/>
                </a:solidFill>
              </a:ln>
            </c:spPr>
          </c:marker>
          <c:cat>
            <c:numRef>
              <c:f>'CH5 Figure 4'!$B$5:$J$5</c:f>
              <c:numCache/>
            </c:numRef>
          </c:cat>
          <c:val>
            <c:numRef>
              <c:f>'CH5 Figure 4'!$B$34:$J$34</c:f>
              <c:numCache/>
            </c:numRef>
          </c:val>
          <c:smooth val="0"/>
        </c:ser>
        <c:ser>
          <c:idx val="5"/>
          <c:order val="5"/>
          <c:tx>
            <c:strRef>
              <c:f>'CH5 Figure 4'!$A$35</c:f>
              <c:strCache>
                <c:ptCount val="1"/>
                <c:pt idx="0">
                  <c:v>ROV r=-.5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66"/>
              </a:solidFill>
              <a:ln>
                <a:solidFill>
                  <a:srgbClr val="999933"/>
                </a:solidFill>
              </a:ln>
            </c:spPr>
          </c:marker>
          <c:cat>
            <c:numRef>
              <c:f>'CH5 Figure 4'!$B$5:$J$5</c:f>
              <c:numCache/>
            </c:numRef>
          </c:cat>
          <c:val>
            <c:numRef>
              <c:f>'CH5 Figure 4'!$B$35:$J$35</c:f>
              <c:numCache/>
            </c:numRef>
          </c:val>
          <c:smooth val="0"/>
        </c:ser>
        <c:marker val="1"/>
        <c:axId val="19662449"/>
        <c:axId val="42744314"/>
      </c:lineChart>
      <c:catAx>
        <c:axId val="19662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424242"/>
                    </a:solidFill>
                  </a:rPr>
                  <a:t>R Volatility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2744314"/>
        <c:crosses val="autoZero"/>
        <c:auto val="1"/>
        <c:lblOffset val="100"/>
        <c:tickLblSkip val="1"/>
        <c:noMultiLvlLbl val="0"/>
      </c:catAx>
      <c:valAx>
        <c:axId val="42744314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96624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25"/>
          <c:y val="0.91025"/>
          <c:w val="0.89925"/>
          <c:h val="0.0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ROV &amp; X* as function of P &amp; Q Correlation</a:t>
            </a:r>
          </a:p>
        </c:rich>
      </c:tx>
      <c:layout>
        <c:manualLayout>
          <c:xMode val="factor"/>
          <c:yMode val="factor"/>
          <c:x val="-0.001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08"/>
          <c:w val="0.98175"/>
          <c:h val="0.71075"/>
        </c:manualLayout>
      </c:layout>
      <c:lineChart>
        <c:grouping val="standard"/>
        <c:varyColors val="0"/>
        <c:ser>
          <c:idx val="0"/>
          <c:order val="0"/>
          <c:tx>
            <c:strRef>
              <c:f>'CH5 Figure 6'!$A$24</c:f>
              <c:strCache>
                <c:ptCount val="1"/>
                <c:pt idx="0">
                  <c:v>ROV (P,Q)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C0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'CH5 Figure 6'!$B$9:$K$9</c:f>
              <c:numCache/>
            </c:numRef>
          </c:cat>
          <c:val>
            <c:numRef>
              <c:f>'CH5 Figure 6'!$B$24:$K$24</c:f>
              <c:numCache/>
            </c:numRef>
          </c:val>
          <c:smooth val="0"/>
        </c:ser>
        <c:ser>
          <c:idx val="1"/>
          <c:order val="1"/>
          <c:tx>
            <c:strRef>
              <c:f>'CH5 Figure 6'!$A$25</c:f>
              <c:strCache>
                <c:ptCount val="1"/>
                <c:pt idx="0">
                  <c:v>X*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'CH5 Figure 6'!$B$9:$K$9</c:f>
              <c:numCache/>
            </c:numRef>
          </c:cat>
          <c:val>
            <c:numRef>
              <c:f>'CH5 Figure 6'!$B$25:$K$25</c:f>
              <c:numCache/>
            </c:numRef>
          </c:val>
          <c:smooth val="0"/>
        </c:ser>
        <c:marker val="1"/>
        <c:axId val="49154507"/>
        <c:axId val="39737380"/>
      </c:lineChart>
      <c:catAx>
        <c:axId val="49154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424242"/>
                    </a:solidFill>
                  </a:rPr>
                  <a:t>P &amp; Q Correlation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9737380"/>
        <c:crosses val="autoZero"/>
        <c:auto val="1"/>
        <c:lblOffset val="100"/>
        <c:tickLblSkip val="1"/>
        <c:noMultiLvlLbl val="0"/>
      </c:catAx>
      <c:valAx>
        <c:axId val="39737380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91545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325"/>
          <c:y val="0.91425"/>
          <c:w val="0.21325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ROV &amp; X* as a function of Price Volatility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9275"/>
          <c:w val="0.9817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'CH5 Figure 7'!$A$25</c:f>
              <c:strCache>
                <c:ptCount val="1"/>
                <c:pt idx="0">
                  <c:v>ROV (P,Q)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C0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'CH5 Figure 7'!$B$7:$K$7</c:f>
              <c:numCache/>
            </c:numRef>
          </c:cat>
          <c:val>
            <c:numRef>
              <c:f>'CH5 Figure 7'!$B$25:$K$25</c:f>
              <c:numCache/>
            </c:numRef>
          </c:val>
          <c:smooth val="0"/>
        </c:ser>
        <c:ser>
          <c:idx val="1"/>
          <c:order val="1"/>
          <c:tx>
            <c:strRef>
              <c:f>'CH5 Figure 7'!$A$26</c:f>
              <c:strCache>
                <c:ptCount val="1"/>
                <c:pt idx="0">
                  <c:v>X*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'CH5 Figure 7'!$B$7:$K$7</c:f>
              <c:numCache/>
            </c:numRef>
          </c:cat>
          <c:val>
            <c:numRef>
              <c:f>'CH5 Figure 7'!$B$26:$K$26</c:f>
              <c:numCache/>
            </c:numRef>
          </c:val>
          <c:smooth val="0"/>
        </c:ser>
        <c:marker val="1"/>
        <c:axId val="22092101"/>
        <c:axId val="64611182"/>
      </c:lineChart>
      <c:catAx>
        <c:axId val="22092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424242"/>
                    </a:solidFill>
                  </a:rPr>
                  <a:t>Price Volatility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4611182"/>
        <c:crosses val="autoZero"/>
        <c:auto val="1"/>
        <c:lblOffset val="100"/>
        <c:tickLblSkip val="1"/>
        <c:noMultiLvlLbl val="0"/>
      </c:catAx>
      <c:valAx>
        <c:axId val="64611182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20921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325"/>
          <c:y val="0.92625"/>
          <c:w val="0.2132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ROV &amp; X* as a function of Price Volatility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9275"/>
          <c:w val="0.981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'CH5 Figure 7'!$A$25</c:f>
              <c:strCache>
                <c:ptCount val="1"/>
                <c:pt idx="0">
                  <c:v>ROV (P,Q)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C0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'CH5 Figure 7'!$B$7:$K$7</c:f>
              <c:numCache>
                <c:ptCount val="10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</c:numCache>
            </c:numRef>
          </c:cat>
          <c:val>
            <c:numRef>
              <c:f>'CH5 Figure 7'!$B$25:$K$25</c:f>
              <c:numCache>
                <c:ptCount val="10"/>
                <c:pt idx="0">
                  <c:v>11.708949117631198</c:v>
                </c:pt>
                <c:pt idx="1">
                  <c:v>8.930052514082204</c:v>
                </c:pt>
                <c:pt idx="2">
                  <c:v>7.738208448064303</c:v>
                </c:pt>
                <c:pt idx="3">
                  <c:v>7.758917404927684</c:v>
                </c:pt>
                <c:pt idx="4">
                  <c:v>8.569591643507326</c:v>
                </c:pt>
                <c:pt idx="5">
                  <c:v>9.84939805645012</c:v>
                </c:pt>
                <c:pt idx="6">
                  <c:v>11.386574560313393</c:v>
                </c:pt>
                <c:pt idx="7">
                  <c:v>13.04730530129089</c:v>
                </c:pt>
                <c:pt idx="8">
                  <c:v>14.74847221627978</c:v>
                </c:pt>
                <c:pt idx="9">
                  <c:v>16.439173396978056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'CH5 Figure 7'!$A$26</c:f>
              <c:strCache>
                <c:ptCount val="1"/>
                <c:pt idx="0">
                  <c:v>X*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'CH5 Figure 7'!$B$7:$K$7</c:f>
              <c:numCache>
                <c:ptCount val="10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</c:numCache>
            </c:numRef>
          </c:cat>
          <c:val>
            <c:numRef>
              <c:f>'CH5 Figure 7'!$B$26:$K$26</c:f>
              <c:numCache>
                <c:ptCount val="10"/>
                <c:pt idx="0">
                  <c:v>6.148564132950581</c:v>
                </c:pt>
                <c:pt idx="1">
                  <c:v>5.483803268617425</c:v>
                </c:pt>
                <c:pt idx="2">
                  <c:v>5.2163649828320295</c:v>
                </c:pt>
                <c:pt idx="3">
                  <c:v>5.220937271229855</c:v>
                </c:pt>
                <c:pt idx="4">
                  <c:v>5.401953485837653</c:v>
                </c:pt>
                <c:pt idx="5">
                  <c:v>5.696771952625839</c:v>
                </c:pt>
                <c:pt idx="6">
                  <c:v>6.068043092540204</c:v>
                </c:pt>
                <c:pt idx="7">
                  <c:v>6.493743149067871</c:v>
                </c:pt>
                <c:pt idx="8">
                  <c:v>6.96038275175456</c:v>
                </c:pt>
                <c:pt idx="9">
                  <c:v>7.459219743521665</c:v>
                </c:pt>
              </c:numCache>
            </c:numRef>
          </c:val>
          <c:smooth val="0"/>
        </c:ser>
        <c:marker val="1"/>
        <c:axId val="44629727"/>
        <c:axId val="66123224"/>
      </c:lineChart>
      <c:catAx>
        <c:axId val="44629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424242"/>
                    </a:solidFill>
                  </a:rPr>
                  <a:t>Price Volatility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6123224"/>
        <c:crosses val="autoZero"/>
        <c:auto val="1"/>
        <c:lblOffset val="100"/>
        <c:tickLblSkip val="1"/>
        <c:noMultiLvlLbl val="0"/>
      </c:catAx>
      <c:valAx>
        <c:axId val="66123224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46297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75"/>
          <c:y val="0.92625"/>
          <c:w val="0.215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38100</xdr:rowOff>
    </xdr:from>
    <xdr:to>
      <xdr:col>21</xdr:col>
      <xdr:colOff>361950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19050" y="3400425"/>
        <a:ext cx="70485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34</xdr:row>
      <xdr:rowOff>142875</xdr:rowOff>
    </xdr:from>
    <xdr:to>
      <xdr:col>10</xdr:col>
      <xdr:colOff>28575</xdr:colOff>
      <xdr:row>52</xdr:row>
      <xdr:rowOff>142875</xdr:rowOff>
    </xdr:to>
    <xdr:graphicFrame>
      <xdr:nvGraphicFramePr>
        <xdr:cNvPr id="1" name="Chart 2"/>
        <xdr:cNvGraphicFramePr/>
      </xdr:nvGraphicFramePr>
      <xdr:xfrm>
        <a:off x="28575" y="5524500"/>
        <a:ext cx="61245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19050</xdr:rowOff>
    </xdr:from>
    <xdr:to>
      <xdr:col>11</xdr:col>
      <xdr:colOff>28575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38100" y="3952875"/>
        <a:ext cx="67341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28575</xdr:rowOff>
    </xdr:from>
    <xdr:to>
      <xdr:col>10</xdr:col>
      <xdr:colOff>600075</xdr:colOff>
      <xdr:row>47</xdr:row>
      <xdr:rowOff>152400</xdr:rowOff>
    </xdr:to>
    <xdr:graphicFrame>
      <xdr:nvGraphicFramePr>
        <xdr:cNvPr id="1" name="Chart 5"/>
        <xdr:cNvGraphicFramePr/>
      </xdr:nvGraphicFramePr>
      <xdr:xfrm>
        <a:off x="0" y="4114800"/>
        <a:ext cx="67341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28575</xdr:rowOff>
    </xdr:from>
    <xdr:to>
      <xdr:col>10</xdr:col>
      <xdr:colOff>600075</xdr:colOff>
      <xdr:row>46</xdr:row>
      <xdr:rowOff>152400</xdr:rowOff>
    </xdr:to>
    <xdr:graphicFrame>
      <xdr:nvGraphicFramePr>
        <xdr:cNvPr id="1" name="Chart 5"/>
        <xdr:cNvGraphicFramePr/>
      </xdr:nvGraphicFramePr>
      <xdr:xfrm>
        <a:off x="0" y="3962400"/>
        <a:ext cx="66960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:F10"/>
    </sheetView>
  </sheetViews>
  <sheetFormatPr defaultColWidth="9.140625" defaultRowHeight="12.75"/>
  <sheetData>
    <row r="1" ht="12">
      <c r="A1" s="9" t="s">
        <v>100</v>
      </c>
    </row>
    <row r="2" ht="12">
      <c r="A2" t="s">
        <v>99</v>
      </c>
    </row>
    <row r="4" spans="1:2" ht="12">
      <c r="A4" s="9" t="s">
        <v>120</v>
      </c>
      <c r="B4" s="9" t="s">
        <v>104</v>
      </c>
    </row>
    <row r="5" spans="1:2" ht="12">
      <c r="A5" s="9" t="s">
        <v>132</v>
      </c>
      <c r="B5" s="9" t="s">
        <v>138</v>
      </c>
    </row>
    <row r="6" spans="1:2" ht="12">
      <c r="A6" s="9" t="s">
        <v>133</v>
      </c>
      <c r="B6" s="9" t="s">
        <v>103</v>
      </c>
    </row>
    <row r="7" spans="1:2" ht="12">
      <c r="A7" s="9" t="s">
        <v>134</v>
      </c>
      <c r="B7" s="9" t="s">
        <v>139</v>
      </c>
    </row>
    <row r="8" spans="1:2" ht="12">
      <c r="A8" s="9" t="s">
        <v>135</v>
      </c>
      <c r="B8" s="9" t="s">
        <v>105</v>
      </c>
    </row>
    <row r="9" spans="1:2" ht="12">
      <c r="A9" s="9" t="s">
        <v>136</v>
      </c>
      <c r="B9" s="9" t="s">
        <v>109</v>
      </c>
    </row>
    <row r="10" spans="1:2" ht="12">
      <c r="A10" s="9" t="s">
        <v>137</v>
      </c>
      <c r="B10" s="9" t="s">
        <v>108</v>
      </c>
    </row>
    <row r="11" ht="12">
      <c r="A11" s="9" t="s">
        <v>3</v>
      </c>
    </row>
    <row r="14" ht="12">
      <c r="B14" s="9" t="s">
        <v>3</v>
      </c>
    </row>
    <row r="15" ht="12">
      <c r="B15" s="9" t="s">
        <v>3</v>
      </c>
    </row>
  </sheetData>
  <sheetProtection/>
  <printOptions gridLines="1" horizontalCentered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22">
      <selection activeCell="A24" sqref="A24:K24"/>
    </sheetView>
  </sheetViews>
  <sheetFormatPr defaultColWidth="9.140625" defaultRowHeight="12.75"/>
  <sheetData>
    <row r="1" spans="1:11" ht="15">
      <c r="A1" s="6" t="s">
        <v>74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2" ht="12">
      <c r="A2" t="s">
        <v>16</v>
      </c>
      <c r="B2" t="s">
        <v>75</v>
      </c>
    </row>
    <row r="3" spans="1:11" ht="12">
      <c r="A3" t="s">
        <v>2</v>
      </c>
      <c r="B3" s="3">
        <v>1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</row>
    <row r="4" spans="1:11" ht="12">
      <c r="A4" t="s">
        <v>76</v>
      </c>
      <c r="B4" s="3">
        <v>2</v>
      </c>
      <c r="C4" s="3">
        <v>2</v>
      </c>
      <c r="D4" s="3">
        <v>2</v>
      </c>
      <c r="E4" s="3">
        <v>2</v>
      </c>
      <c r="F4" s="3">
        <v>2</v>
      </c>
      <c r="G4" s="3">
        <v>2</v>
      </c>
      <c r="H4" s="3">
        <v>2</v>
      </c>
      <c r="I4" s="3">
        <v>2</v>
      </c>
      <c r="J4" s="3">
        <v>2</v>
      </c>
      <c r="K4" s="3">
        <v>2</v>
      </c>
    </row>
    <row r="5" spans="1:11" ht="12">
      <c r="A5" t="s">
        <v>77</v>
      </c>
      <c r="B5" s="3">
        <f aca="true" t="shared" si="0" ref="B5:K5">B3*B4</f>
        <v>2</v>
      </c>
      <c r="C5" s="3">
        <f t="shared" si="0"/>
        <v>2</v>
      </c>
      <c r="D5" s="3">
        <f t="shared" si="0"/>
        <v>2</v>
      </c>
      <c r="E5" s="3">
        <f t="shared" si="0"/>
        <v>2</v>
      </c>
      <c r="F5" s="3">
        <f t="shared" si="0"/>
        <v>2</v>
      </c>
      <c r="G5" s="3">
        <f t="shared" si="0"/>
        <v>2</v>
      </c>
      <c r="H5" s="3">
        <f t="shared" si="0"/>
        <v>2</v>
      </c>
      <c r="I5" s="3">
        <f t="shared" si="0"/>
        <v>2</v>
      </c>
      <c r="J5" s="3">
        <f t="shared" si="0"/>
        <v>2</v>
      </c>
      <c r="K5" s="3">
        <f t="shared" si="0"/>
        <v>2</v>
      </c>
    </row>
    <row r="6" spans="1:11" ht="12">
      <c r="A6" t="s">
        <v>19</v>
      </c>
      <c r="B6" s="3">
        <v>100</v>
      </c>
      <c r="C6" s="3">
        <v>100</v>
      </c>
      <c r="D6" s="3">
        <v>100</v>
      </c>
      <c r="E6" s="3">
        <v>100</v>
      </c>
      <c r="F6" s="3">
        <v>100</v>
      </c>
      <c r="G6" s="3">
        <v>100</v>
      </c>
      <c r="H6" s="3">
        <v>100</v>
      </c>
      <c r="I6" s="3">
        <v>100</v>
      </c>
      <c r="J6" s="3">
        <v>100</v>
      </c>
      <c r="K6" s="3">
        <v>100</v>
      </c>
    </row>
    <row r="7" spans="1:11" ht="12.75">
      <c r="A7" s="19" t="s">
        <v>1</v>
      </c>
      <c r="B7" s="20">
        <v>0.05</v>
      </c>
      <c r="C7" s="20">
        <f>B7+0.05</f>
        <v>0.1</v>
      </c>
      <c r="D7" s="20">
        <f aca="true" t="shared" si="1" ref="D7:K7">C7+0.05</f>
        <v>0.15000000000000002</v>
      </c>
      <c r="E7" s="20">
        <f t="shared" si="1"/>
        <v>0.2</v>
      </c>
      <c r="F7" s="20">
        <f t="shared" si="1"/>
        <v>0.25</v>
      </c>
      <c r="G7" s="20">
        <f t="shared" si="1"/>
        <v>0.3</v>
      </c>
      <c r="H7" s="20">
        <f t="shared" si="1"/>
        <v>0.35</v>
      </c>
      <c r="I7" s="20">
        <f t="shared" si="1"/>
        <v>0.39999999999999997</v>
      </c>
      <c r="J7" s="20">
        <f t="shared" si="1"/>
        <v>0.44999999999999996</v>
      </c>
      <c r="K7" s="20">
        <f t="shared" si="1"/>
        <v>0.49999999999999994</v>
      </c>
    </row>
    <row r="8" spans="1:11" ht="12">
      <c r="A8" s="1" t="s">
        <v>5</v>
      </c>
      <c r="B8" s="3">
        <v>0.2</v>
      </c>
      <c r="C8" s="3">
        <v>0.2</v>
      </c>
      <c r="D8" s="3">
        <v>0.2</v>
      </c>
      <c r="E8" s="3">
        <v>0.2</v>
      </c>
      <c r="F8" s="3">
        <v>0.2</v>
      </c>
      <c r="G8" s="3">
        <v>0.2</v>
      </c>
      <c r="H8" s="3">
        <v>0.2</v>
      </c>
      <c r="I8" s="3">
        <v>0.2</v>
      </c>
      <c r="J8" s="3">
        <v>0.2</v>
      </c>
      <c r="K8" s="3">
        <v>0.2</v>
      </c>
    </row>
    <row r="9" spans="1:11" ht="12">
      <c r="A9" s="1" t="s">
        <v>0</v>
      </c>
      <c r="B9" s="8">
        <v>-0.5</v>
      </c>
      <c r="C9" s="8">
        <f>B9</f>
        <v>-0.5</v>
      </c>
      <c r="D9" s="8">
        <f aca="true" t="shared" si="2" ref="D9:K9">C9</f>
        <v>-0.5</v>
      </c>
      <c r="E9" s="8">
        <f t="shared" si="2"/>
        <v>-0.5</v>
      </c>
      <c r="F9" s="8">
        <f t="shared" si="2"/>
        <v>-0.5</v>
      </c>
      <c r="G9" s="8">
        <f t="shared" si="2"/>
        <v>-0.5</v>
      </c>
      <c r="H9" s="8">
        <f t="shared" si="2"/>
        <v>-0.5</v>
      </c>
      <c r="I9" s="8">
        <f t="shared" si="2"/>
        <v>-0.5</v>
      </c>
      <c r="J9" s="8">
        <f t="shared" si="2"/>
        <v>-0.5</v>
      </c>
      <c r="K9" s="8">
        <f t="shared" si="2"/>
        <v>-0.5</v>
      </c>
    </row>
    <row r="10" spans="1:11" ht="12">
      <c r="A10" s="5" t="s">
        <v>0</v>
      </c>
      <c r="B10" s="3">
        <v>0.04</v>
      </c>
      <c r="C10" s="3">
        <v>0.04</v>
      </c>
      <c r="D10" s="3">
        <v>0.04</v>
      </c>
      <c r="E10" s="3">
        <v>0.04</v>
      </c>
      <c r="F10" s="3">
        <v>0.04</v>
      </c>
      <c r="G10" s="3">
        <v>0.04</v>
      </c>
      <c r="H10" s="3">
        <v>0.04</v>
      </c>
      <c r="I10" s="3">
        <v>0.04</v>
      </c>
      <c r="J10" s="3">
        <v>0.04</v>
      </c>
      <c r="K10" s="3">
        <v>0.04</v>
      </c>
    </row>
    <row r="11" spans="1:11" ht="12">
      <c r="A11" s="1" t="s">
        <v>78</v>
      </c>
      <c r="B11" s="3">
        <f>$B$48</f>
        <v>0</v>
      </c>
      <c r="C11" s="3">
        <f>B11</f>
        <v>0</v>
      </c>
      <c r="D11" s="3">
        <f aca="true" t="shared" si="3" ref="D11:K11">C11</f>
        <v>0</v>
      </c>
      <c r="E11" s="3">
        <f t="shared" si="3"/>
        <v>0</v>
      </c>
      <c r="F11" s="3">
        <f t="shared" si="3"/>
        <v>0</v>
      </c>
      <c r="G11" s="3">
        <f t="shared" si="3"/>
        <v>0</v>
      </c>
      <c r="H11" s="3">
        <f t="shared" si="3"/>
        <v>0</v>
      </c>
      <c r="I11" s="3">
        <f t="shared" si="3"/>
        <v>0</v>
      </c>
      <c r="J11" s="3">
        <f t="shared" si="3"/>
        <v>0</v>
      </c>
      <c r="K11" s="3">
        <f t="shared" si="3"/>
        <v>0</v>
      </c>
    </row>
    <row r="12" spans="1:11" ht="12">
      <c r="A12" s="1" t="s">
        <v>8</v>
      </c>
      <c r="B12" s="3">
        <v>0.01</v>
      </c>
      <c r="C12" s="3">
        <v>0.01</v>
      </c>
      <c r="D12" s="3">
        <v>0.01</v>
      </c>
      <c r="E12" s="3">
        <v>0.01</v>
      </c>
      <c r="F12" s="3">
        <v>0.01</v>
      </c>
      <c r="G12" s="3">
        <v>0.01</v>
      </c>
      <c r="H12" s="3">
        <v>0.01</v>
      </c>
      <c r="I12" s="3">
        <v>0.01</v>
      </c>
      <c r="J12" s="3">
        <v>0.01</v>
      </c>
      <c r="K12" s="3">
        <v>0.01</v>
      </c>
    </row>
    <row r="13" spans="1:11" ht="12">
      <c r="A13" s="5" t="s">
        <v>17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">
      <c r="A14" s="1" t="s">
        <v>79</v>
      </c>
      <c r="B14" s="3">
        <f>B10-B11-B12-B9*B7*B8</f>
        <v>0.035</v>
      </c>
      <c r="C14" s="3">
        <f aca="true" t="shared" si="4" ref="C14:K14">C10-C11-C12-C9*C7*C8</f>
        <v>0.04</v>
      </c>
      <c r="D14" s="3">
        <f t="shared" si="4"/>
        <v>0.045</v>
      </c>
      <c r="E14" s="3">
        <f t="shared" si="4"/>
        <v>0.05</v>
      </c>
      <c r="F14" s="3">
        <f t="shared" si="4"/>
        <v>0.055</v>
      </c>
      <c r="G14" s="3">
        <f t="shared" si="4"/>
        <v>0.06</v>
      </c>
      <c r="H14" s="3">
        <f t="shared" si="4"/>
        <v>0.065</v>
      </c>
      <c r="I14" s="3">
        <f t="shared" si="4"/>
        <v>0.07</v>
      </c>
      <c r="J14" s="3">
        <f t="shared" si="4"/>
        <v>0.075</v>
      </c>
      <c r="K14" s="3">
        <f t="shared" si="4"/>
        <v>0.07999999999999999</v>
      </c>
    </row>
    <row r="15" spans="1:11" ht="12">
      <c r="A15" s="9" t="s">
        <v>106</v>
      </c>
      <c r="B15" s="8">
        <f aca="true" t="shared" si="5" ref="B15:K15">IF(B5&lt;B19,(B6/(B17-1))*((B5/B19)^B17),B16)</f>
        <v>8.665292066571949</v>
      </c>
      <c r="C15" s="8">
        <f t="shared" si="5"/>
        <v>4.731633856998106</v>
      </c>
      <c r="D15" s="8">
        <f t="shared" si="5"/>
        <v>2.9798728200614644</v>
      </c>
      <c r="E15" s="8">
        <f t="shared" si="5"/>
        <v>2.334980672546394</v>
      </c>
      <c r="F15" s="8">
        <f t="shared" si="5"/>
        <v>2.192474313307512</v>
      </c>
      <c r="G15" s="8">
        <f t="shared" si="5"/>
        <v>2.277726368872719</v>
      </c>
      <c r="H15" s="8">
        <f t="shared" si="5"/>
        <v>2.467493920278626</v>
      </c>
      <c r="I15" s="8">
        <f t="shared" si="5"/>
        <v>2.701285637378244</v>
      </c>
      <c r="J15" s="8">
        <f t="shared" si="5"/>
        <v>2.946907185792884</v>
      </c>
      <c r="K15" s="8">
        <f t="shared" si="5"/>
        <v>3.186655060271901</v>
      </c>
    </row>
    <row r="16" spans="1:11" ht="12">
      <c r="A16" s="5" t="s">
        <v>83</v>
      </c>
      <c r="B16" s="8">
        <f aca="true" t="shared" si="6" ref="B16:K16">B5/B14-B6</f>
        <v>-42.85714285714286</v>
      </c>
      <c r="C16" s="8">
        <f t="shared" si="6"/>
        <v>-50</v>
      </c>
      <c r="D16" s="8">
        <f t="shared" si="6"/>
        <v>-55.55555555555556</v>
      </c>
      <c r="E16" s="8">
        <f t="shared" si="6"/>
        <v>-60</v>
      </c>
      <c r="F16" s="8">
        <f t="shared" si="6"/>
        <v>-63.63636363636363</v>
      </c>
      <c r="G16" s="8">
        <f t="shared" si="6"/>
        <v>-66.66666666666666</v>
      </c>
      <c r="H16" s="8">
        <f t="shared" si="6"/>
        <v>-69.23076923076923</v>
      </c>
      <c r="I16" s="8">
        <f t="shared" si="6"/>
        <v>-71.42857142857143</v>
      </c>
      <c r="J16" s="8">
        <f t="shared" si="6"/>
        <v>-73.33333333333333</v>
      </c>
      <c r="K16" s="8">
        <f t="shared" si="6"/>
        <v>-75</v>
      </c>
    </row>
    <row r="17" spans="1:11" ht="15">
      <c r="A17" s="1" t="s">
        <v>29</v>
      </c>
      <c r="B17" s="3">
        <f aca="true" t="shared" si="7" ref="B17:K17">(1/B18^2)*(-(B9*B7*B8+B11+B12-0.5*(B18^2))+SQRT((B9*B7*B8+B11+B12-0.5*(B18^2))^2+(2*B10)*(B18^2)))</f>
        <v>1.9528152749388785</v>
      </c>
      <c r="C17" s="3">
        <f t="shared" si="7"/>
        <v>2.207825127659933</v>
      </c>
      <c r="D17" s="3">
        <f t="shared" si="7"/>
        <v>2.353567676460335</v>
      </c>
      <c r="E17" s="3">
        <f t="shared" si="7"/>
        <v>2.350781059358212</v>
      </c>
      <c r="F17" s="3">
        <f t="shared" si="7"/>
        <v>2.2489833869342335</v>
      </c>
      <c r="G17" s="3">
        <f t="shared" si="7"/>
        <v>2.1124411157861935</v>
      </c>
      <c r="H17" s="3">
        <f t="shared" si="7"/>
        <v>1.9778219892981137</v>
      </c>
      <c r="I17" s="3">
        <f t="shared" si="7"/>
        <v>1.8586778913041728</v>
      </c>
      <c r="J17" s="3">
        <f t="shared" si="7"/>
        <v>1.7575025415588725</v>
      </c>
      <c r="K17" s="3">
        <f t="shared" si="7"/>
        <v>1.672763436778012</v>
      </c>
    </row>
    <row r="18" spans="1:11" ht="15">
      <c r="A18" s="18" t="s">
        <v>85</v>
      </c>
      <c r="B18" s="3">
        <f aca="true" t="shared" si="8" ref="B18:K18">SQRT(B7^2+B8^2+2*B9*B7*B8)</f>
        <v>0.18027756377319948</v>
      </c>
      <c r="C18" s="3">
        <f t="shared" si="8"/>
        <v>0.17320508075688776</v>
      </c>
      <c r="D18" s="3">
        <f t="shared" si="8"/>
        <v>0.18027756377319948</v>
      </c>
      <c r="E18" s="3">
        <f t="shared" si="8"/>
        <v>0.2</v>
      </c>
      <c r="F18" s="3">
        <f t="shared" si="8"/>
        <v>0.22912878474779202</v>
      </c>
      <c r="G18" s="3">
        <f t="shared" si="8"/>
        <v>0.2645751311064591</v>
      </c>
      <c r="H18" s="3">
        <f t="shared" si="8"/>
        <v>0.30413812651491096</v>
      </c>
      <c r="I18" s="3">
        <f t="shared" si="8"/>
        <v>0.3464101615137754</v>
      </c>
      <c r="J18" s="3">
        <f t="shared" si="8"/>
        <v>0.39051248379533265</v>
      </c>
      <c r="K18" s="3">
        <f t="shared" si="8"/>
        <v>0.4358898943540673</v>
      </c>
    </row>
    <row r="19" spans="1:11" ht="12">
      <c r="A19" t="s">
        <v>87</v>
      </c>
      <c r="B19" s="8">
        <f aca="true" t="shared" si="9" ref="B19:K19">B6*B14*(B17/(B17-1))</f>
        <v>7.173324821775679</v>
      </c>
      <c r="C19" s="8">
        <f t="shared" si="9"/>
        <v>7.3117376914899</v>
      </c>
      <c r="D19" s="8">
        <f t="shared" si="9"/>
        <v>7.824547474248044</v>
      </c>
      <c r="E19" s="8">
        <f t="shared" si="9"/>
        <v>8.701562118716424</v>
      </c>
      <c r="F19" s="8">
        <f t="shared" si="9"/>
        <v>9.903581390702364</v>
      </c>
      <c r="G19" s="8">
        <f t="shared" si="9"/>
        <v>11.393543905251677</v>
      </c>
      <c r="H19" s="8">
        <f t="shared" si="9"/>
        <v>13.147426700503777</v>
      </c>
      <c r="I19" s="8">
        <f t="shared" si="9"/>
        <v>15.152067347825035</v>
      </c>
      <c r="J19" s="8">
        <f t="shared" si="9"/>
        <v>17.4009568793864</v>
      </c>
      <c r="K19" s="8">
        <f>K6*K14*(K17/(K17-1))</f>
        <v>19.891252649391102</v>
      </c>
    </row>
    <row r="20" spans="1:11" ht="12">
      <c r="A20" t="s">
        <v>14</v>
      </c>
      <c r="B20" s="8">
        <f aca="true" t="shared" si="10" ref="B20:K20">0.5*(B18^2)*((B5/B14)^2)*B22+(B9*B7*B8+B11+B12)*(B5/B14)*B21-B10*B15</f>
        <v>-5.551115123125783E-16</v>
      </c>
      <c r="C20" s="8">
        <f t="shared" si="10"/>
        <v>-2.220446049250313E-16</v>
      </c>
      <c r="D20" s="8">
        <f t="shared" si="10"/>
        <v>-1.249000902703301E-16</v>
      </c>
      <c r="E20" s="8">
        <f t="shared" si="10"/>
        <v>0</v>
      </c>
      <c r="F20" s="8">
        <f t="shared" si="10"/>
        <v>0</v>
      </c>
      <c r="G20" s="8">
        <f t="shared" si="10"/>
        <v>0</v>
      </c>
      <c r="H20" s="8">
        <f t="shared" si="10"/>
        <v>0</v>
      </c>
      <c r="I20" s="8">
        <f t="shared" si="10"/>
        <v>1.8041124150158794E-16</v>
      </c>
      <c r="J20" s="8">
        <f t="shared" si="10"/>
        <v>-1.249000902703301E-16</v>
      </c>
      <c r="K20" s="8">
        <f t="shared" si="10"/>
        <v>0</v>
      </c>
    </row>
    <row r="21" spans="1:11" ht="12">
      <c r="A21" t="s">
        <v>18</v>
      </c>
      <c r="B21" s="8">
        <f aca="true" t="shared" si="11" ref="B21:K21">B23*B17*((B5/B14)^(B17-1))</f>
        <v>0.29613000741464623</v>
      </c>
      <c r="C21" s="8">
        <f t="shared" si="11"/>
        <v>0.2089324024873378</v>
      </c>
      <c r="D21" s="8">
        <f t="shared" si="11"/>
        <v>0.15779997785833563</v>
      </c>
      <c r="E21" s="8">
        <f t="shared" si="11"/>
        <v>0.13722570847473903</v>
      </c>
      <c r="F21" s="8">
        <f t="shared" si="11"/>
        <v>0.13559805343998751</v>
      </c>
      <c r="G21" s="8">
        <f t="shared" si="11"/>
        <v>0.14434688496351356</v>
      </c>
      <c r="H21" s="8">
        <f t="shared" si="11"/>
        <v>0.15860857135456044</v>
      </c>
      <c r="I21" s="8">
        <f t="shared" si="11"/>
        <v>0.1757286962302358</v>
      </c>
      <c r="J21" s="8">
        <f t="shared" si="11"/>
        <v>0.1942198825788412</v>
      </c>
      <c r="K21" s="8">
        <f t="shared" si="11"/>
        <v>0.21322080281785882</v>
      </c>
    </row>
    <row r="22" spans="1:11" ht="12">
      <c r="A22" t="s">
        <v>15</v>
      </c>
      <c r="B22" s="8">
        <f aca="true" t="shared" si="12" ref="B22:K22">B23*B17*(B17-1)*(B5/B14)^(B17-2)</f>
        <v>0.004937750902567671</v>
      </c>
      <c r="C22" s="8">
        <f t="shared" si="12"/>
        <v>0.005047076114131306</v>
      </c>
      <c r="D22" s="8">
        <f t="shared" si="12"/>
        <v>0.00480584136094199</v>
      </c>
      <c r="E22" s="8">
        <f t="shared" si="12"/>
        <v>0.004634047196617231</v>
      </c>
      <c r="F22" s="8">
        <f t="shared" si="12"/>
        <v>0.004657392191297031</v>
      </c>
      <c r="G22" s="8">
        <f t="shared" si="12"/>
        <v>0.00481732229307217</v>
      </c>
      <c r="H22" s="8">
        <f t="shared" si="12"/>
        <v>0.005040455834753563</v>
      </c>
      <c r="I22" s="8">
        <f t="shared" si="12"/>
        <v>0.005281302121221364</v>
      </c>
      <c r="J22" s="8">
        <f t="shared" si="12"/>
        <v>0.005517077050302672</v>
      </c>
      <c r="K22" s="8">
        <f t="shared" si="12"/>
        <v>0.005737886403852379</v>
      </c>
    </row>
    <row r="23" spans="1:11" ht="12">
      <c r="A23" s="9" t="s">
        <v>7</v>
      </c>
      <c r="B23" s="12">
        <f aca="true" t="shared" si="13" ref="B23:K23">((B19/B14)-B6)/((B19/B14)^B17)</f>
        <v>0.003211893003171816</v>
      </c>
      <c r="C23" s="12">
        <f t="shared" si="13"/>
        <v>0.0008394260913647983</v>
      </c>
      <c r="D23" s="12">
        <f t="shared" si="13"/>
        <v>0.0003944098630505608</v>
      </c>
      <c r="E23" s="12">
        <f t="shared" si="13"/>
        <v>0.00040012068767288555</v>
      </c>
      <c r="F23" s="12">
        <f t="shared" si="13"/>
        <v>0.0006776721996822345</v>
      </c>
      <c r="G23" s="12">
        <f t="shared" si="13"/>
        <v>0.0013820058254786468</v>
      </c>
      <c r="H23" s="12">
        <f t="shared" si="13"/>
        <v>0.002812070988964167</v>
      </c>
      <c r="I23" s="12">
        <f t="shared" si="13"/>
        <v>0.0053144946263069094</v>
      </c>
      <c r="J23" s="12">
        <f t="shared" si="13"/>
        <v>0.009188038082937826</v>
      </c>
      <c r="K23" s="12">
        <f t="shared" si="13"/>
        <v>0.014618813394026289</v>
      </c>
    </row>
    <row r="24" spans="1:11" ht="12">
      <c r="A24" t="str">
        <f>A15</f>
        <v>ROV (P,Q)</v>
      </c>
      <c r="B24" s="3">
        <f aca="true" t="shared" si="14" ref="B24:K24">B15</f>
        <v>8.665292066571949</v>
      </c>
      <c r="C24" s="3">
        <f t="shared" si="14"/>
        <v>4.731633856998106</v>
      </c>
      <c r="D24" s="3">
        <f t="shared" si="14"/>
        <v>2.9798728200614644</v>
      </c>
      <c r="E24" s="3">
        <f t="shared" si="14"/>
        <v>2.334980672546394</v>
      </c>
      <c r="F24" s="3">
        <f t="shared" si="14"/>
        <v>2.192474313307512</v>
      </c>
      <c r="G24" s="3">
        <f t="shared" si="14"/>
        <v>2.277726368872719</v>
      </c>
      <c r="H24" s="3">
        <f t="shared" si="14"/>
        <v>2.467493920278626</v>
      </c>
      <c r="I24" s="3">
        <f t="shared" si="14"/>
        <v>2.701285637378244</v>
      </c>
      <c r="J24" s="3">
        <f t="shared" si="14"/>
        <v>2.946907185792884</v>
      </c>
      <c r="K24" s="3">
        <f t="shared" si="14"/>
        <v>3.186655060271901</v>
      </c>
    </row>
    <row r="25" spans="1:11" ht="12">
      <c r="A25" t="str">
        <f>A19</f>
        <v>X*</v>
      </c>
      <c r="B25" s="3">
        <f aca="true" t="shared" si="15" ref="B25:K25">B19</f>
        <v>7.173324821775679</v>
      </c>
      <c r="C25" s="3">
        <f t="shared" si="15"/>
        <v>7.3117376914899</v>
      </c>
      <c r="D25" s="3">
        <f t="shared" si="15"/>
        <v>7.824547474248044</v>
      </c>
      <c r="E25" s="3">
        <f t="shared" si="15"/>
        <v>8.701562118716424</v>
      </c>
      <c r="F25" s="3">
        <f t="shared" si="15"/>
        <v>9.903581390702364</v>
      </c>
      <c r="G25" s="3">
        <f t="shared" si="15"/>
        <v>11.393543905251677</v>
      </c>
      <c r="H25" s="3">
        <f t="shared" si="15"/>
        <v>13.147426700503777</v>
      </c>
      <c r="I25" s="3">
        <f t="shared" si="15"/>
        <v>15.152067347825035</v>
      </c>
      <c r="J25" s="3">
        <f t="shared" si="15"/>
        <v>17.4009568793864</v>
      </c>
      <c r="K25" s="3">
        <f t="shared" si="15"/>
        <v>19.891252649391102</v>
      </c>
    </row>
    <row r="48" spans="1:2" ht="12">
      <c r="A48" s="1" t="s">
        <v>78</v>
      </c>
      <c r="B48" s="3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1" sqref="A1:D24"/>
    </sheetView>
  </sheetViews>
  <sheetFormatPr defaultColWidth="9.140625" defaultRowHeight="12.75"/>
  <cols>
    <col min="1" max="1" width="11.28125" style="0" bestFit="1" customWidth="1"/>
    <col min="2" max="2" width="9.00390625" style="0" bestFit="1" customWidth="1"/>
    <col min="3" max="3" width="46.28125" style="0" bestFit="1" customWidth="1"/>
    <col min="4" max="4" width="9.421875" style="0" bestFit="1" customWidth="1"/>
  </cols>
  <sheetData>
    <row r="1" spans="2:4" ht="15">
      <c r="B1" s="6" t="s">
        <v>20</v>
      </c>
      <c r="D1" s="9" t="s">
        <v>59</v>
      </c>
    </row>
    <row r="2" spans="1:2" ht="12">
      <c r="A2" s="5" t="s">
        <v>16</v>
      </c>
      <c r="B2" t="s">
        <v>60</v>
      </c>
    </row>
    <row r="3" spans="1:2" ht="12">
      <c r="A3" t="s">
        <v>6</v>
      </c>
      <c r="B3" s="2">
        <v>100</v>
      </c>
    </row>
    <row r="4" spans="1:2" ht="12">
      <c r="A4" t="s">
        <v>19</v>
      </c>
      <c r="B4" s="2">
        <v>100</v>
      </c>
    </row>
    <row r="5" spans="1:2" ht="15">
      <c r="A5" s="1" t="s">
        <v>13</v>
      </c>
      <c r="B5" s="3">
        <v>0.2</v>
      </c>
    </row>
    <row r="6" spans="1:2" ht="12">
      <c r="A6" s="1" t="s">
        <v>24</v>
      </c>
      <c r="B6" s="3">
        <v>0.2</v>
      </c>
    </row>
    <row r="7" spans="1:2" ht="15">
      <c r="A7" s="1" t="s">
        <v>12</v>
      </c>
      <c r="B7">
        <v>0.04</v>
      </c>
    </row>
    <row r="8" spans="1:2" ht="12">
      <c r="A8" s="1" t="s">
        <v>26</v>
      </c>
      <c r="B8">
        <v>0.04</v>
      </c>
    </row>
    <row r="9" spans="1:2" ht="12">
      <c r="A9" s="1" t="s">
        <v>0</v>
      </c>
      <c r="B9" s="3">
        <v>0.5</v>
      </c>
    </row>
    <row r="10" spans="1:2" ht="12">
      <c r="A10" s="5" t="s">
        <v>17</v>
      </c>
      <c r="B10" s="3"/>
    </row>
    <row r="11" spans="1:4" ht="12">
      <c r="A11" s="9" t="s">
        <v>27</v>
      </c>
      <c r="B11" s="3">
        <f>IF(B17&lt;B16,B13*B4*(B17^B14),B12)</f>
        <v>25.000000000000007</v>
      </c>
      <c r="C11" s="8" t="s">
        <v>61</v>
      </c>
      <c r="D11" s="7">
        <v>12</v>
      </c>
    </row>
    <row r="12" spans="1:4" ht="12">
      <c r="A12" s="5" t="s">
        <v>28</v>
      </c>
      <c r="B12" s="3">
        <f>B3-B4</f>
        <v>0</v>
      </c>
      <c r="C12" s="8" t="s">
        <v>62</v>
      </c>
      <c r="D12" s="7"/>
    </row>
    <row r="13" spans="1:4" ht="12">
      <c r="A13" t="s">
        <v>7</v>
      </c>
      <c r="B13" s="3">
        <f>(B16-1)/(B16^B14)</f>
        <v>0.25000000000000006</v>
      </c>
      <c r="C13" s="8" t="s">
        <v>63</v>
      </c>
      <c r="D13" s="7">
        <v>13</v>
      </c>
    </row>
    <row r="14" spans="1:4" ht="15">
      <c r="A14" s="1" t="s">
        <v>29</v>
      </c>
      <c r="B14" s="3">
        <f>0.5-(B8-B7)/(B15^2)+SQRT(((B8-B7)/(B15^2)-0.5)^2+(2*B8)/(B15^2))</f>
        <v>1.9999999999999998</v>
      </c>
      <c r="C14" s="10" t="s">
        <v>30</v>
      </c>
      <c r="D14" s="16">
        <v>11</v>
      </c>
    </row>
    <row r="15" spans="1:4" ht="12">
      <c r="A15" s="1" t="s">
        <v>31</v>
      </c>
      <c r="B15" s="3">
        <f>SQRT(B5^2+B6^2-2*B9*B5*B6)</f>
        <v>0.2</v>
      </c>
      <c r="C15" s="11" t="s">
        <v>32</v>
      </c>
      <c r="D15" s="7"/>
    </row>
    <row r="16" spans="1:4" ht="12">
      <c r="A16" t="s">
        <v>33</v>
      </c>
      <c r="B16" s="3">
        <f>(B14/(B14-1))</f>
        <v>2.0000000000000004</v>
      </c>
      <c r="C16" s="11" t="s">
        <v>64</v>
      </c>
      <c r="D16" s="7">
        <v>10</v>
      </c>
    </row>
    <row r="17" spans="1:4" ht="12">
      <c r="A17" s="5" t="s">
        <v>34</v>
      </c>
      <c r="B17" s="13">
        <f>B3/B4</f>
        <v>1</v>
      </c>
      <c r="C17" s="14" t="s">
        <v>35</v>
      </c>
      <c r="D17" s="17"/>
    </row>
    <row r="18" spans="1:4" ht="12">
      <c r="A18" t="s">
        <v>14</v>
      </c>
      <c r="B18" s="8">
        <f>0.5*(B15^2)*(B17^2)*B20+(B8-B7)*B17*B19-B8*B11</f>
        <v>0</v>
      </c>
      <c r="C18" s="8" t="s">
        <v>65</v>
      </c>
      <c r="D18" s="7">
        <v>6</v>
      </c>
    </row>
    <row r="19" spans="1:4" ht="12">
      <c r="A19" s="9" t="s">
        <v>36</v>
      </c>
      <c r="B19" s="8">
        <f>B4*B13*B14*(B17^(B14-1))</f>
        <v>50.00000000000001</v>
      </c>
      <c r="C19" s="8" t="s">
        <v>66</v>
      </c>
      <c r="D19" s="7">
        <v>15</v>
      </c>
    </row>
    <row r="20" spans="1:4" ht="12">
      <c r="A20" s="9" t="s">
        <v>37</v>
      </c>
      <c r="B20" s="8">
        <f>B4*B13*B14*(B14-1)*(B17^(B14-2))</f>
        <v>49.99999999999999</v>
      </c>
      <c r="C20" s="8" t="s">
        <v>67</v>
      </c>
      <c r="D20" s="7">
        <v>16</v>
      </c>
    </row>
    <row r="21" spans="1:4" ht="12">
      <c r="A21" s="9" t="s">
        <v>38</v>
      </c>
      <c r="B21" s="8">
        <f>B13*B4*((B16^B14))</f>
        <v>100.00000000000006</v>
      </c>
      <c r="C21" s="9" t="s">
        <v>68</v>
      </c>
      <c r="D21" s="7"/>
    </row>
    <row r="22" spans="1:4" ht="12">
      <c r="A22" s="9" t="s">
        <v>38</v>
      </c>
      <c r="B22" s="8">
        <f>(B16-1)*B4</f>
        <v>100.00000000000004</v>
      </c>
      <c r="C22" s="8" t="s">
        <v>69</v>
      </c>
      <c r="D22" s="2">
        <v>8</v>
      </c>
    </row>
    <row r="23" spans="1:4" ht="12">
      <c r="A23" s="9" t="s">
        <v>39</v>
      </c>
      <c r="B23" s="3">
        <f>1</f>
        <v>1</v>
      </c>
      <c r="C23" s="9" t="s">
        <v>3</v>
      </c>
      <c r="D23" s="2">
        <v>9</v>
      </c>
    </row>
    <row r="24" spans="1:4" ht="12">
      <c r="A24" s="9" t="s">
        <v>40</v>
      </c>
      <c r="B24" s="8">
        <f>B4*(B16-1)*((B17/B16)^B14)</f>
        <v>25.000000000000004</v>
      </c>
      <c r="C24" s="9" t="s">
        <v>70</v>
      </c>
      <c r="D24" s="2">
        <v>14</v>
      </c>
    </row>
    <row r="25" spans="1:4" ht="12">
      <c r="A25" s="9" t="s">
        <v>5</v>
      </c>
      <c r="B25" s="8">
        <f>0.5*(B15^2)*(B17^2)</f>
        <v>0.020000000000000004</v>
      </c>
      <c r="C25" s="8" t="s">
        <v>71</v>
      </c>
      <c r="D25" s="2"/>
    </row>
    <row r="26" spans="1:4" ht="12">
      <c r="A26" s="9" t="s">
        <v>41</v>
      </c>
      <c r="B26" s="8">
        <f>(B8-B7)*B17</f>
        <v>0</v>
      </c>
      <c r="C26" s="8" t="s">
        <v>72</v>
      </c>
      <c r="D26" s="2"/>
    </row>
    <row r="27" spans="1:4" ht="12">
      <c r="A27" s="9" t="s">
        <v>42</v>
      </c>
      <c r="B27" s="15">
        <f>-B7</f>
        <v>-0.04</v>
      </c>
      <c r="C27" s="15" t="s">
        <v>73</v>
      </c>
      <c r="D27" s="2"/>
    </row>
    <row r="28" spans="1:3" ht="14.25">
      <c r="A28" s="9" t="s">
        <v>43</v>
      </c>
      <c r="B28" s="9">
        <f>B26^2-4*B25*B27</f>
        <v>0.0032000000000000006</v>
      </c>
      <c r="C28" s="9" t="s">
        <v>44</v>
      </c>
    </row>
  </sheetData>
  <sheetProtection/>
  <printOptions headings="1" horizontalCentered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7">
      <selection activeCell="W39" sqref="W39"/>
    </sheetView>
  </sheetViews>
  <sheetFormatPr defaultColWidth="9.140625" defaultRowHeight="12.75"/>
  <cols>
    <col min="2" max="21" width="4.57421875" style="0" customWidth="1"/>
    <col min="22" max="22" width="5.57421875" style="0" customWidth="1"/>
  </cols>
  <sheetData>
    <row r="1" spans="1:22" ht="18">
      <c r="A1" s="4" t="s">
        <v>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3" spans="1:22" ht="18">
      <c r="A3" s="4" t="s">
        <v>117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8" ht="12">
      <c r="B4" t="s">
        <v>3</v>
      </c>
      <c r="C4" t="s">
        <v>3</v>
      </c>
      <c r="D4" t="s">
        <v>3</v>
      </c>
      <c r="E4" t="s">
        <v>3</v>
      </c>
      <c r="F4" t="s">
        <v>3</v>
      </c>
      <c r="G4" t="s">
        <v>3</v>
      </c>
      <c r="H4" t="s">
        <v>3</v>
      </c>
    </row>
    <row r="5" spans="1:22" ht="12">
      <c r="A5" t="s">
        <v>6</v>
      </c>
      <c r="B5">
        <v>100</v>
      </c>
      <c r="C5">
        <f>B5</f>
        <v>100</v>
      </c>
      <c r="D5">
        <f aca="true" t="shared" si="0" ref="D5:O5">C5</f>
        <v>100</v>
      </c>
      <c r="E5">
        <f t="shared" si="0"/>
        <v>100</v>
      </c>
      <c r="F5">
        <f t="shared" si="0"/>
        <v>100</v>
      </c>
      <c r="G5">
        <f t="shared" si="0"/>
        <v>100</v>
      </c>
      <c r="H5">
        <f t="shared" si="0"/>
        <v>100</v>
      </c>
      <c r="I5">
        <f t="shared" si="0"/>
        <v>100</v>
      </c>
      <c r="J5">
        <f t="shared" si="0"/>
        <v>100</v>
      </c>
      <c r="K5">
        <f t="shared" si="0"/>
        <v>100</v>
      </c>
      <c r="L5">
        <f t="shared" si="0"/>
        <v>100</v>
      </c>
      <c r="M5">
        <f t="shared" si="0"/>
        <v>100</v>
      </c>
      <c r="N5">
        <f t="shared" si="0"/>
        <v>100</v>
      </c>
      <c r="O5">
        <f t="shared" si="0"/>
        <v>100</v>
      </c>
      <c r="P5">
        <f aca="true" t="shared" si="1" ref="P5:V5">O5</f>
        <v>100</v>
      </c>
      <c r="Q5">
        <f t="shared" si="1"/>
        <v>100</v>
      </c>
      <c r="R5">
        <f t="shared" si="1"/>
        <v>100</v>
      </c>
      <c r="S5">
        <f t="shared" si="1"/>
        <v>100</v>
      </c>
      <c r="T5">
        <f t="shared" si="1"/>
        <v>100</v>
      </c>
      <c r="U5">
        <f t="shared" si="1"/>
        <v>100</v>
      </c>
      <c r="V5">
        <f t="shared" si="1"/>
        <v>100</v>
      </c>
    </row>
    <row r="6" spans="1:22" ht="12">
      <c r="A6" s="9" t="s">
        <v>19</v>
      </c>
      <c r="B6">
        <v>100</v>
      </c>
      <c r="C6">
        <v>100</v>
      </c>
      <c r="D6">
        <v>100</v>
      </c>
      <c r="E6">
        <v>100</v>
      </c>
      <c r="F6">
        <v>100</v>
      </c>
      <c r="G6">
        <v>100</v>
      </c>
      <c r="H6">
        <v>100</v>
      </c>
      <c r="I6">
        <v>100</v>
      </c>
      <c r="J6">
        <v>100</v>
      </c>
      <c r="K6">
        <v>100</v>
      </c>
      <c r="L6">
        <v>100</v>
      </c>
      <c r="M6">
        <v>100</v>
      </c>
      <c r="N6">
        <v>100</v>
      </c>
      <c r="O6">
        <v>100</v>
      </c>
      <c r="P6">
        <v>100</v>
      </c>
      <c r="Q6">
        <v>100</v>
      </c>
      <c r="R6">
        <v>100</v>
      </c>
      <c r="S6">
        <v>100</v>
      </c>
      <c r="T6">
        <v>100</v>
      </c>
      <c r="U6">
        <v>100</v>
      </c>
      <c r="V6">
        <v>100</v>
      </c>
    </row>
    <row r="7" spans="1:22" ht="15">
      <c r="A7" s="1" t="s">
        <v>13</v>
      </c>
      <c r="B7">
        <v>0.2</v>
      </c>
      <c r="C7">
        <f aca="true" t="shared" si="2" ref="C7:O11">B7</f>
        <v>0.2</v>
      </c>
      <c r="D7">
        <f t="shared" si="2"/>
        <v>0.2</v>
      </c>
      <c r="E7">
        <f t="shared" si="2"/>
        <v>0.2</v>
      </c>
      <c r="F7">
        <f t="shared" si="2"/>
        <v>0.2</v>
      </c>
      <c r="G7">
        <f t="shared" si="2"/>
        <v>0.2</v>
      </c>
      <c r="H7">
        <f t="shared" si="2"/>
        <v>0.2</v>
      </c>
      <c r="I7">
        <f t="shared" si="2"/>
        <v>0.2</v>
      </c>
      <c r="J7">
        <f t="shared" si="2"/>
        <v>0.2</v>
      </c>
      <c r="K7">
        <f t="shared" si="2"/>
        <v>0.2</v>
      </c>
      <c r="L7">
        <f t="shared" si="2"/>
        <v>0.2</v>
      </c>
      <c r="M7">
        <f t="shared" si="2"/>
        <v>0.2</v>
      </c>
      <c r="N7">
        <f t="shared" si="2"/>
        <v>0.2</v>
      </c>
      <c r="O7">
        <f t="shared" si="2"/>
        <v>0.2</v>
      </c>
      <c r="P7">
        <f aca="true" t="shared" si="3" ref="P7:V11">O7</f>
        <v>0.2</v>
      </c>
      <c r="Q7">
        <f t="shared" si="3"/>
        <v>0.2</v>
      </c>
      <c r="R7">
        <f t="shared" si="3"/>
        <v>0.2</v>
      </c>
      <c r="S7">
        <f t="shared" si="3"/>
        <v>0.2</v>
      </c>
      <c r="T7">
        <f t="shared" si="3"/>
        <v>0.2</v>
      </c>
      <c r="U7">
        <f t="shared" si="3"/>
        <v>0.2</v>
      </c>
      <c r="V7">
        <f t="shared" si="3"/>
        <v>0.2</v>
      </c>
    </row>
    <row r="8" spans="1:22" ht="15">
      <c r="A8" s="1" t="s">
        <v>118</v>
      </c>
      <c r="B8">
        <v>0.2</v>
      </c>
      <c r="C8">
        <f>B8</f>
        <v>0.2</v>
      </c>
      <c r="D8">
        <f t="shared" si="2"/>
        <v>0.2</v>
      </c>
      <c r="E8">
        <f t="shared" si="2"/>
        <v>0.2</v>
      </c>
      <c r="F8">
        <f t="shared" si="2"/>
        <v>0.2</v>
      </c>
      <c r="G8">
        <f t="shared" si="2"/>
        <v>0.2</v>
      </c>
      <c r="H8">
        <f t="shared" si="2"/>
        <v>0.2</v>
      </c>
      <c r="I8">
        <f t="shared" si="2"/>
        <v>0.2</v>
      </c>
      <c r="J8">
        <f t="shared" si="2"/>
        <v>0.2</v>
      </c>
      <c r="K8">
        <f t="shared" si="2"/>
        <v>0.2</v>
      </c>
      <c r="L8">
        <f t="shared" si="2"/>
        <v>0.2</v>
      </c>
      <c r="M8">
        <f t="shared" si="2"/>
        <v>0.2</v>
      </c>
      <c r="N8">
        <f t="shared" si="2"/>
        <v>0.2</v>
      </c>
      <c r="O8">
        <f t="shared" si="2"/>
        <v>0.2</v>
      </c>
      <c r="P8">
        <f t="shared" si="3"/>
        <v>0.2</v>
      </c>
      <c r="Q8">
        <f t="shared" si="3"/>
        <v>0.2</v>
      </c>
      <c r="R8">
        <f t="shared" si="3"/>
        <v>0.2</v>
      </c>
      <c r="S8">
        <f t="shared" si="3"/>
        <v>0.2</v>
      </c>
      <c r="T8">
        <f t="shared" si="3"/>
        <v>0.2</v>
      </c>
      <c r="U8">
        <f t="shared" si="3"/>
        <v>0.2</v>
      </c>
      <c r="V8">
        <f t="shared" si="3"/>
        <v>0.2</v>
      </c>
    </row>
    <row r="9" spans="1:22" ht="12">
      <c r="A9" s="5" t="s">
        <v>0</v>
      </c>
      <c r="B9">
        <v>0.04</v>
      </c>
      <c r="C9">
        <f t="shared" si="2"/>
        <v>0.04</v>
      </c>
      <c r="D9">
        <f t="shared" si="2"/>
        <v>0.04</v>
      </c>
      <c r="E9">
        <f t="shared" si="2"/>
        <v>0.04</v>
      </c>
      <c r="F9">
        <f t="shared" si="2"/>
        <v>0.04</v>
      </c>
      <c r="G9">
        <f t="shared" si="2"/>
        <v>0.04</v>
      </c>
      <c r="H9">
        <f t="shared" si="2"/>
        <v>0.04</v>
      </c>
      <c r="I9">
        <f t="shared" si="2"/>
        <v>0.04</v>
      </c>
      <c r="J9">
        <f t="shared" si="2"/>
        <v>0.04</v>
      </c>
      <c r="K9">
        <f t="shared" si="2"/>
        <v>0.04</v>
      </c>
      <c r="L9">
        <f t="shared" si="2"/>
        <v>0.04</v>
      </c>
      <c r="M9">
        <f t="shared" si="2"/>
        <v>0.04</v>
      </c>
      <c r="N9">
        <f t="shared" si="2"/>
        <v>0.04</v>
      </c>
      <c r="O9">
        <f t="shared" si="2"/>
        <v>0.04</v>
      </c>
      <c r="P9">
        <f t="shared" si="3"/>
        <v>0.04</v>
      </c>
      <c r="Q9">
        <f t="shared" si="3"/>
        <v>0.04</v>
      </c>
      <c r="R9">
        <f t="shared" si="3"/>
        <v>0.04</v>
      </c>
      <c r="S9">
        <f t="shared" si="3"/>
        <v>0.04</v>
      </c>
      <c r="T9">
        <f t="shared" si="3"/>
        <v>0.04</v>
      </c>
      <c r="U9">
        <f t="shared" si="3"/>
        <v>0.04</v>
      </c>
      <c r="V9">
        <f t="shared" si="3"/>
        <v>0.04</v>
      </c>
    </row>
    <row r="10" spans="1:22" ht="15">
      <c r="A10" s="1" t="s">
        <v>12</v>
      </c>
      <c r="B10">
        <v>0.04</v>
      </c>
      <c r="C10">
        <f t="shared" si="2"/>
        <v>0.04</v>
      </c>
      <c r="D10">
        <f t="shared" si="2"/>
        <v>0.04</v>
      </c>
      <c r="E10">
        <f t="shared" si="2"/>
        <v>0.04</v>
      </c>
      <c r="F10">
        <f t="shared" si="2"/>
        <v>0.04</v>
      </c>
      <c r="G10">
        <f t="shared" si="2"/>
        <v>0.04</v>
      </c>
      <c r="H10">
        <f t="shared" si="2"/>
        <v>0.04</v>
      </c>
      <c r="I10">
        <f t="shared" si="2"/>
        <v>0.04</v>
      </c>
      <c r="J10">
        <f t="shared" si="2"/>
        <v>0.04</v>
      </c>
      <c r="K10">
        <f t="shared" si="2"/>
        <v>0.04</v>
      </c>
      <c r="L10">
        <f t="shared" si="2"/>
        <v>0.04</v>
      </c>
      <c r="M10">
        <f t="shared" si="2"/>
        <v>0.04</v>
      </c>
      <c r="N10">
        <f t="shared" si="2"/>
        <v>0.04</v>
      </c>
      <c r="O10">
        <f t="shared" si="2"/>
        <v>0.04</v>
      </c>
      <c r="P10">
        <f t="shared" si="3"/>
        <v>0.04</v>
      </c>
      <c r="Q10">
        <f t="shared" si="3"/>
        <v>0.04</v>
      </c>
      <c r="R10">
        <f t="shared" si="3"/>
        <v>0.04</v>
      </c>
      <c r="S10">
        <f t="shared" si="3"/>
        <v>0.04</v>
      </c>
      <c r="T10">
        <f t="shared" si="3"/>
        <v>0.04</v>
      </c>
      <c r="U10">
        <f t="shared" si="3"/>
        <v>0.04</v>
      </c>
      <c r="V10">
        <f t="shared" si="3"/>
        <v>0.04</v>
      </c>
    </row>
    <row r="11" spans="1:22" ht="15">
      <c r="A11" s="1" t="s">
        <v>119</v>
      </c>
      <c r="B11">
        <v>0.04</v>
      </c>
      <c r="C11">
        <f>B11</f>
        <v>0.04</v>
      </c>
      <c r="D11">
        <f t="shared" si="2"/>
        <v>0.04</v>
      </c>
      <c r="E11">
        <f t="shared" si="2"/>
        <v>0.04</v>
      </c>
      <c r="F11">
        <f t="shared" si="2"/>
        <v>0.04</v>
      </c>
      <c r="G11">
        <f t="shared" si="2"/>
        <v>0.04</v>
      </c>
      <c r="H11">
        <f t="shared" si="2"/>
        <v>0.04</v>
      </c>
      <c r="I11">
        <f t="shared" si="2"/>
        <v>0.04</v>
      </c>
      <c r="J11">
        <f t="shared" si="2"/>
        <v>0.04</v>
      </c>
      <c r="K11">
        <f t="shared" si="2"/>
        <v>0.04</v>
      </c>
      <c r="L11">
        <f t="shared" si="2"/>
        <v>0.04</v>
      </c>
      <c r="M11">
        <f t="shared" si="2"/>
        <v>0.04</v>
      </c>
      <c r="N11">
        <f t="shared" si="2"/>
        <v>0.04</v>
      </c>
      <c r="O11">
        <f t="shared" si="2"/>
        <v>0.04</v>
      </c>
      <c r="P11">
        <f t="shared" si="3"/>
        <v>0.04</v>
      </c>
      <c r="Q11">
        <f t="shared" si="3"/>
        <v>0.04</v>
      </c>
      <c r="R11">
        <f t="shared" si="3"/>
        <v>0.04</v>
      </c>
      <c r="S11">
        <f t="shared" si="3"/>
        <v>0.04</v>
      </c>
      <c r="T11">
        <f t="shared" si="3"/>
        <v>0.04</v>
      </c>
      <c r="U11">
        <f t="shared" si="3"/>
        <v>0.04</v>
      </c>
      <c r="V11">
        <f t="shared" si="3"/>
        <v>0.04</v>
      </c>
    </row>
    <row r="12" spans="1:22" ht="12">
      <c r="A12" s="1" t="s">
        <v>0</v>
      </c>
      <c r="B12">
        <v>-1</v>
      </c>
      <c r="C12">
        <f>B12+0.1</f>
        <v>-0.9</v>
      </c>
      <c r="D12">
        <f aca="true" t="shared" si="4" ref="D12:O12">C12+0.1</f>
        <v>-0.8</v>
      </c>
      <c r="E12">
        <f t="shared" si="4"/>
        <v>-0.7000000000000001</v>
      </c>
      <c r="F12">
        <f t="shared" si="4"/>
        <v>-0.6000000000000001</v>
      </c>
      <c r="G12">
        <f t="shared" si="4"/>
        <v>-0.5000000000000001</v>
      </c>
      <c r="H12">
        <f t="shared" si="4"/>
        <v>-0.40000000000000013</v>
      </c>
      <c r="I12">
        <f t="shared" si="4"/>
        <v>-0.30000000000000016</v>
      </c>
      <c r="J12">
        <f t="shared" si="4"/>
        <v>-0.20000000000000015</v>
      </c>
      <c r="K12">
        <f t="shared" si="4"/>
        <v>-0.10000000000000014</v>
      </c>
      <c r="L12">
        <f t="shared" si="4"/>
        <v>-1.3877787807814457E-16</v>
      </c>
      <c r="M12">
        <f t="shared" si="4"/>
        <v>0.09999999999999987</v>
      </c>
      <c r="N12">
        <f t="shared" si="4"/>
        <v>0.19999999999999987</v>
      </c>
      <c r="O12">
        <f t="shared" si="4"/>
        <v>0.2999999999999999</v>
      </c>
      <c r="P12">
        <f aca="true" t="shared" si="5" ref="P12:U12">O12+0.1</f>
        <v>0.3999999999999999</v>
      </c>
      <c r="Q12">
        <f t="shared" si="5"/>
        <v>0.4999999999999999</v>
      </c>
      <c r="R12">
        <f t="shared" si="5"/>
        <v>0.5999999999999999</v>
      </c>
      <c r="S12">
        <f t="shared" si="5"/>
        <v>0.6999999999999998</v>
      </c>
      <c r="T12">
        <f t="shared" si="5"/>
        <v>0.7999999999999998</v>
      </c>
      <c r="U12">
        <f t="shared" si="5"/>
        <v>0.8999999999999998</v>
      </c>
      <c r="V12">
        <v>0.999</v>
      </c>
    </row>
    <row r="13" ht="12">
      <c r="A13" s="1"/>
    </row>
    <row r="14" spans="1:22" ht="12">
      <c r="A14" t="s">
        <v>9</v>
      </c>
      <c r="B14" s="2">
        <f>IF(B20&lt;B19,B6*B16*(B20^B17),B15)</f>
        <v>45.205772181557805</v>
      </c>
      <c r="C14" s="2">
        <f aca="true" t="shared" si="6" ref="C14:O14">IF(C20&lt;C19,C6*C16*(C20^C17),C15)</f>
        <v>44.32776351169824</v>
      </c>
      <c r="D14" s="2">
        <f t="shared" si="6"/>
        <v>43.41025621873926</v>
      </c>
      <c r="E14" s="2">
        <f t="shared" si="6"/>
        <v>42.44980552239889</v>
      </c>
      <c r="F14" s="2">
        <f t="shared" si="6"/>
        <v>41.44246950656022</v>
      </c>
      <c r="G14" s="2">
        <f t="shared" si="6"/>
        <v>40.38370201963421</v>
      </c>
      <c r="H14" s="2">
        <f t="shared" si="6"/>
        <v>39.26821353065297</v>
      </c>
      <c r="I14" s="2">
        <f t="shared" si="6"/>
        <v>38.089787256598555</v>
      </c>
      <c r="J14" s="2">
        <f t="shared" si="6"/>
        <v>36.84103143868862</v>
      </c>
      <c r="K14" s="2">
        <f t="shared" si="6"/>
        <v>35.51303809961222</v>
      </c>
      <c r="L14" s="2">
        <f t="shared" si="6"/>
        <v>34.09490070205293</v>
      </c>
      <c r="M14" s="2">
        <f t="shared" si="6"/>
        <v>32.573011399138885</v>
      </c>
      <c r="N14" s="2">
        <f t="shared" si="6"/>
        <v>30.929999503378873</v>
      </c>
      <c r="O14" s="2">
        <f t="shared" si="6"/>
        <v>29.1430561290747</v>
      </c>
      <c r="P14" s="2">
        <f aca="true" t="shared" si="7" ref="P14:V14">IF(P20&lt;P19,P6*P16*(P20^P17),P15)</f>
        <v>27.181142146947046</v>
      </c>
      <c r="Q14" s="2">
        <f t="shared" si="7"/>
        <v>25.000000000000007</v>
      </c>
      <c r="R14" s="2">
        <f t="shared" si="7"/>
        <v>22.532379550557067</v>
      </c>
      <c r="S14" s="2">
        <f t="shared" si="7"/>
        <v>19.66623420107781</v>
      </c>
      <c r="T14" s="2">
        <f t="shared" si="7"/>
        <v>16.185385071517064</v>
      </c>
      <c r="U14" s="2">
        <f t="shared" si="7"/>
        <v>11.537775388103949</v>
      </c>
      <c r="V14" s="2">
        <f t="shared" si="7"/>
        <v>1.1632400074384204</v>
      </c>
    </row>
    <row r="15" spans="1:22" ht="12">
      <c r="A15" s="5" t="s">
        <v>28</v>
      </c>
      <c r="B15" s="2">
        <f>B5-B6</f>
        <v>0</v>
      </c>
      <c r="C15" s="2">
        <f aca="true" t="shared" si="8" ref="C15:M15">C5-C6</f>
        <v>0</v>
      </c>
      <c r="D15" s="2">
        <f t="shared" si="8"/>
        <v>0</v>
      </c>
      <c r="E15" s="2">
        <f t="shared" si="8"/>
        <v>0</v>
      </c>
      <c r="F15" s="2">
        <f t="shared" si="8"/>
        <v>0</v>
      </c>
      <c r="G15" s="2">
        <f t="shared" si="8"/>
        <v>0</v>
      </c>
      <c r="H15" s="2">
        <f t="shared" si="8"/>
        <v>0</v>
      </c>
      <c r="I15" s="2">
        <f t="shared" si="8"/>
        <v>0</v>
      </c>
      <c r="J15" s="2">
        <f t="shared" si="8"/>
        <v>0</v>
      </c>
      <c r="K15" s="2">
        <f t="shared" si="8"/>
        <v>0</v>
      </c>
      <c r="L15" s="2">
        <f t="shared" si="8"/>
        <v>0</v>
      </c>
      <c r="M15" s="2">
        <f t="shared" si="8"/>
        <v>0</v>
      </c>
      <c r="N15" s="2">
        <f aca="true" t="shared" si="9" ref="N15:V15">N5-N6</f>
        <v>0</v>
      </c>
      <c r="O15" s="2">
        <f t="shared" si="9"/>
        <v>0</v>
      </c>
      <c r="P15" s="2">
        <f t="shared" si="9"/>
        <v>0</v>
      </c>
      <c r="Q15" s="2">
        <f t="shared" si="9"/>
        <v>0</v>
      </c>
      <c r="R15" s="2">
        <f t="shared" si="9"/>
        <v>0</v>
      </c>
      <c r="S15" s="2">
        <f t="shared" si="9"/>
        <v>0</v>
      </c>
      <c r="T15" s="2">
        <f t="shared" si="9"/>
        <v>0</v>
      </c>
      <c r="U15" s="2">
        <f t="shared" si="9"/>
        <v>0</v>
      </c>
      <c r="V15" s="2">
        <f t="shared" si="9"/>
        <v>0</v>
      </c>
    </row>
    <row r="16" spans="1:22" ht="12">
      <c r="A16" t="s">
        <v>7</v>
      </c>
      <c r="B16" s="3">
        <f>(B19-1)/(B19^B17)</f>
        <v>0.4520577218155781</v>
      </c>
      <c r="C16" s="3">
        <f aca="true" t="shared" si="10" ref="C16:M16">(C19-1)/(C19^C17)</f>
        <v>0.44327763511698237</v>
      </c>
      <c r="D16" s="3">
        <f t="shared" si="10"/>
        <v>0.4341025621873926</v>
      </c>
      <c r="E16" s="3">
        <f t="shared" si="10"/>
        <v>0.42449805522398887</v>
      </c>
      <c r="F16" s="3">
        <f t="shared" si="10"/>
        <v>0.4144246950656022</v>
      </c>
      <c r="G16" s="3">
        <f t="shared" si="10"/>
        <v>0.40383702019634204</v>
      </c>
      <c r="H16" s="3">
        <f t="shared" si="10"/>
        <v>0.39268213530652973</v>
      </c>
      <c r="I16" s="3">
        <f t="shared" si="10"/>
        <v>0.38089787256598556</v>
      </c>
      <c r="J16" s="3">
        <f t="shared" si="10"/>
        <v>0.3684103143868862</v>
      </c>
      <c r="K16" s="3">
        <f t="shared" si="10"/>
        <v>0.35513038099612215</v>
      </c>
      <c r="L16" s="3">
        <f t="shared" si="10"/>
        <v>0.3409490070205293</v>
      </c>
      <c r="M16" s="3">
        <f t="shared" si="10"/>
        <v>0.32573011399138885</v>
      </c>
      <c r="N16" s="3">
        <f aca="true" t="shared" si="11" ref="N16:V16">(N19-1)/(N19^N17)</f>
        <v>0.30929999503378874</v>
      </c>
      <c r="O16" s="3">
        <f t="shared" si="11"/>
        <v>0.291430561290747</v>
      </c>
      <c r="P16" s="3">
        <f t="shared" si="11"/>
        <v>0.27181142146947046</v>
      </c>
      <c r="Q16" s="3">
        <f t="shared" si="11"/>
        <v>0.25000000000000006</v>
      </c>
      <c r="R16" s="3">
        <f t="shared" si="11"/>
        <v>0.2253237955055707</v>
      </c>
      <c r="S16" s="3">
        <f t="shared" si="11"/>
        <v>0.1966623420107781</v>
      </c>
      <c r="T16" s="3">
        <f t="shared" si="11"/>
        <v>0.16185385071517064</v>
      </c>
      <c r="U16" s="3">
        <f t="shared" si="11"/>
        <v>0.11537775388103949</v>
      </c>
      <c r="V16" s="3">
        <f t="shared" si="11"/>
        <v>0.011632400074384203</v>
      </c>
    </row>
    <row r="17" spans="1:22" ht="12">
      <c r="A17" s="1" t="s">
        <v>4</v>
      </c>
      <c r="B17" s="3">
        <f>0.5-(B11-B10)/(B18^2)+SQRT(((B11-B10)/(B18^2)-0.5)^2+(2*B11)/(B18^2))</f>
        <v>1.3660254037844386</v>
      </c>
      <c r="C17" s="3">
        <f aca="true" t="shared" si="12" ref="C17:M17">0.5-(C11-C10)/(C18^2)+SQRT(((C11-C10)/(C18^2)-0.5)^2+(2*C11)/(C18^2))</f>
        <v>1.381087844357011</v>
      </c>
      <c r="D17" s="3">
        <f t="shared" si="12"/>
        <v>1.3975274678557508</v>
      </c>
      <c r="E17" s="3">
        <f t="shared" si="12"/>
        <v>1.4155519068396107</v>
      </c>
      <c r="F17" s="3">
        <f t="shared" si="12"/>
        <v>1.4354143466934852</v>
      </c>
      <c r="G17" s="3">
        <f t="shared" si="12"/>
        <v>1.457427107756338</v>
      </c>
      <c r="H17" s="3">
        <f t="shared" si="12"/>
        <v>1.4819805060619657</v>
      </c>
      <c r="I17" s="3">
        <f t="shared" si="12"/>
        <v>1.5095695960312834</v>
      </c>
      <c r="J17" s="3">
        <f t="shared" si="12"/>
        <v>1.5408329997330663</v>
      </c>
      <c r="K17" s="3">
        <f t="shared" si="12"/>
        <v>1.5766108438479098</v>
      </c>
      <c r="L17" s="3">
        <f t="shared" si="12"/>
        <v>1.6180339887498947</v>
      </c>
      <c r="M17" s="3">
        <f t="shared" si="12"/>
        <v>1.6666666666666665</v>
      </c>
      <c r="N17" s="3">
        <f aca="true" t="shared" si="13" ref="N17:V17">0.5-(N11-N10)/(N18^2)+SQRT(((N11-N10)/(N18^2)-0.5)^2+(2*N11)/(N18^2))</f>
        <v>1.724744871391589</v>
      </c>
      <c r="O17" s="3">
        <f t="shared" si="13"/>
        <v>1.7955969390869324</v>
      </c>
      <c r="P17" s="3">
        <f t="shared" si="13"/>
        <v>1.8844373104863454</v>
      </c>
      <c r="Q17" s="3">
        <f t="shared" si="13"/>
        <v>1.9999999999999996</v>
      </c>
      <c r="R17" s="3">
        <f t="shared" si="13"/>
        <v>2.1583123951776995</v>
      </c>
      <c r="S17" s="3">
        <f t="shared" si="13"/>
        <v>2.3929694486000903</v>
      </c>
      <c r="T17" s="3">
        <f t="shared" si="13"/>
        <v>2.791287847477918</v>
      </c>
      <c r="U17" s="3">
        <f t="shared" si="13"/>
        <v>3.7015621187164207</v>
      </c>
      <c r="V17" s="3">
        <f t="shared" si="13"/>
        <v>32.12672920173483</v>
      </c>
    </row>
    <row r="18" spans="1:22" ht="12">
      <c r="A18" t="s">
        <v>8</v>
      </c>
      <c r="B18" s="3">
        <f>SQRT(B7^2+B8^2-2*B12*B7*B8)</f>
        <v>0.4</v>
      </c>
      <c r="C18" s="3">
        <f aca="true" t="shared" si="14" ref="C18:M18">SQRT(C7^2+C8^2-2*C12*C7*C8)</f>
        <v>0.3898717737923586</v>
      </c>
      <c r="D18" s="3">
        <f t="shared" si="14"/>
        <v>0.37947331922020555</v>
      </c>
      <c r="E18" s="3">
        <f t="shared" si="14"/>
        <v>0.3687817782917155</v>
      </c>
      <c r="F18" s="3">
        <f t="shared" si="14"/>
        <v>0.3577708763999664</v>
      </c>
      <c r="G18" s="3">
        <f t="shared" si="14"/>
        <v>0.3464101615137755</v>
      </c>
      <c r="H18" s="3">
        <f t="shared" si="14"/>
        <v>0.33466401061363027</v>
      </c>
      <c r="I18" s="3">
        <f t="shared" si="14"/>
        <v>0.32249030993194205</v>
      </c>
      <c r="J18" s="3">
        <f t="shared" si="14"/>
        <v>0.3098386676965934</v>
      </c>
      <c r="K18" s="3">
        <f t="shared" si="14"/>
        <v>0.29664793948382656</v>
      </c>
      <c r="L18" s="3">
        <f t="shared" si="14"/>
        <v>0.28284271247461906</v>
      </c>
      <c r="M18" s="3">
        <f t="shared" si="14"/>
        <v>0.2683281572999748</v>
      </c>
      <c r="N18" s="3">
        <f aca="true" t="shared" si="15" ref="N18:V18">SQRT(N7^2+N8^2-2*N12*N7*N8)</f>
        <v>0.2529822128134704</v>
      </c>
      <c r="O18" s="3">
        <f t="shared" si="15"/>
        <v>0.23664319132398468</v>
      </c>
      <c r="P18" s="3">
        <f t="shared" si="15"/>
        <v>0.2190890230020665</v>
      </c>
      <c r="Q18" s="3">
        <f t="shared" si="15"/>
        <v>0.20000000000000007</v>
      </c>
      <c r="R18" s="3">
        <f t="shared" si="15"/>
        <v>0.17888543819998323</v>
      </c>
      <c r="S18" s="3">
        <f t="shared" si="15"/>
        <v>0.15491933384829673</v>
      </c>
      <c r="T18" s="3">
        <f t="shared" si="15"/>
        <v>0.12649110640673528</v>
      </c>
      <c r="U18" s="3">
        <f t="shared" si="15"/>
        <v>0.0894427190999917</v>
      </c>
      <c r="V18" s="3">
        <f t="shared" si="15"/>
        <v>0.008944271909999753</v>
      </c>
    </row>
    <row r="19" spans="1:22" ht="12">
      <c r="A19" t="s">
        <v>10</v>
      </c>
      <c r="B19" s="3">
        <f>(B17/(B17-1))</f>
        <v>3.7320508075688776</v>
      </c>
      <c r="C19" s="3">
        <f aca="true" t="shared" si="16" ref="C19:M19">(C17/(C17-1))</f>
        <v>3.6240669042783202</v>
      </c>
      <c r="D19" s="3">
        <f t="shared" si="16"/>
        <v>3.5155494421403506</v>
      </c>
      <c r="E19" s="3">
        <f t="shared" si="16"/>
        <v>3.4064382416273373</v>
      </c>
      <c r="F19" s="3">
        <f t="shared" si="16"/>
        <v>3.296662954709577</v>
      </c>
      <c r="G19" s="3">
        <f t="shared" si="16"/>
        <v>3.186140661634507</v>
      </c>
      <c r="H19" s="3">
        <f t="shared" si="16"/>
        <v>3.0747727084867518</v>
      </c>
      <c r="I19" s="3">
        <f t="shared" si="16"/>
        <v>2.96244047484067</v>
      </c>
      <c r="J19" s="3">
        <f t="shared" si="16"/>
        <v>2.8489995996796798</v>
      </c>
      <c r="K19" s="3">
        <f t="shared" si="16"/>
        <v>2.734271928232702</v>
      </c>
      <c r="L19" s="3">
        <f t="shared" si="16"/>
        <v>2.6180339887498953</v>
      </c>
      <c r="M19" s="3">
        <f t="shared" si="16"/>
        <v>2.5000000000000004</v>
      </c>
      <c r="N19" s="3">
        <f aca="true" t="shared" si="17" ref="N19:V19">(N17/(N17-1))</f>
        <v>2.3797958971132713</v>
      </c>
      <c r="O19" s="3">
        <f t="shared" si="17"/>
        <v>2.2569178573608526</v>
      </c>
      <c r="P19" s="3">
        <f t="shared" si="17"/>
        <v>2.130662386291808</v>
      </c>
      <c r="Q19" s="3">
        <f t="shared" si="17"/>
        <v>2.0000000000000004</v>
      </c>
      <c r="R19" s="3">
        <f t="shared" si="17"/>
        <v>1.8633249580710802</v>
      </c>
      <c r="S19" s="3">
        <f t="shared" si="17"/>
        <v>1.717890834580028</v>
      </c>
      <c r="T19" s="3">
        <f t="shared" si="17"/>
        <v>1.5582575694955845</v>
      </c>
      <c r="U19" s="3">
        <f t="shared" si="17"/>
        <v>1.3701562118716428</v>
      </c>
      <c r="V19" s="3">
        <f t="shared" si="17"/>
        <v>1.032126729201739</v>
      </c>
    </row>
    <row r="20" spans="1:22" ht="12">
      <c r="A20" t="s">
        <v>11</v>
      </c>
      <c r="B20">
        <f>(B5/B6)</f>
        <v>1</v>
      </c>
      <c r="C20">
        <f aca="true" t="shared" si="18" ref="C20:M20">(C5/C6)</f>
        <v>1</v>
      </c>
      <c r="D20">
        <f t="shared" si="18"/>
        <v>1</v>
      </c>
      <c r="E20">
        <f t="shared" si="18"/>
        <v>1</v>
      </c>
      <c r="F20">
        <f t="shared" si="18"/>
        <v>1</v>
      </c>
      <c r="G20">
        <f t="shared" si="18"/>
        <v>1</v>
      </c>
      <c r="H20">
        <f t="shared" si="18"/>
        <v>1</v>
      </c>
      <c r="I20">
        <f t="shared" si="18"/>
        <v>1</v>
      </c>
      <c r="J20">
        <f t="shared" si="18"/>
        <v>1</v>
      </c>
      <c r="K20">
        <f t="shared" si="18"/>
        <v>1</v>
      </c>
      <c r="L20">
        <f t="shared" si="18"/>
        <v>1</v>
      </c>
      <c r="M20">
        <f t="shared" si="18"/>
        <v>1</v>
      </c>
      <c r="N20">
        <f aca="true" t="shared" si="19" ref="N20:V20">(N5/N6)</f>
        <v>1</v>
      </c>
      <c r="O20">
        <f t="shared" si="19"/>
        <v>1</v>
      </c>
      <c r="P20">
        <f t="shared" si="19"/>
        <v>1</v>
      </c>
      <c r="Q20">
        <f t="shared" si="19"/>
        <v>1</v>
      </c>
      <c r="R20">
        <f t="shared" si="19"/>
        <v>1</v>
      </c>
      <c r="S20">
        <f t="shared" si="19"/>
        <v>1</v>
      </c>
      <c r="T20">
        <f t="shared" si="19"/>
        <v>1</v>
      </c>
      <c r="U20">
        <f t="shared" si="19"/>
        <v>1</v>
      </c>
      <c r="V20">
        <f t="shared" si="19"/>
        <v>1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orientation="portrait" paperSize="9" scale="75" r:id="rId2"/>
  <headerFooter alignWithMargins="0">
    <oddHeader>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D1" sqref="A1:D23"/>
    </sheetView>
  </sheetViews>
  <sheetFormatPr defaultColWidth="9.140625" defaultRowHeight="12.75"/>
  <cols>
    <col min="1" max="1" width="11.28125" style="0" bestFit="1" customWidth="1"/>
    <col min="3" max="3" width="46.28125" style="0" bestFit="1" customWidth="1"/>
  </cols>
  <sheetData>
    <row r="1" ht="15">
      <c r="B1" s="6" t="s">
        <v>20</v>
      </c>
    </row>
    <row r="2" spans="1:2" ht="12">
      <c r="A2" s="5" t="s">
        <v>16</v>
      </c>
      <c r="B2" t="s">
        <v>21</v>
      </c>
    </row>
    <row r="3" spans="1:2" ht="12">
      <c r="A3" t="s">
        <v>22</v>
      </c>
      <c r="B3" s="3">
        <v>4</v>
      </c>
    </row>
    <row r="4" spans="1:2" ht="12">
      <c r="A4" t="s">
        <v>19</v>
      </c>
      <c r="B4" s="2">
        <v>100</v>
      </c>
    </row>
    <row r="5" spans="1:2" ht="15">
      <c r="A5" s="1" t="s">
        <v>23</v>
      </c>
      <c r="B5" s="3">
        <v>0.2</v>
      </c>
    </row>
    <row r="6" spans="1:2" ht="12">
      <c r="A6" s="1" t="s">
        <v>24</v>
      </c>
      <c r="B6" s="3">
        <v>0.2</v>
      </c>
    </row>
    <row r="7" spans="1:2" ht="15">
      <c r="A7" s="1" t="s">
        <v>25</v>
      </c>
      <c r="B7">
        <v>0.04</v>
      </c>
    </row>
    <row r="8" spans="1:2" ht="12">
      <c r="A8" s="1" t="s">
        <v>26</v>
      </c>
      <c r="B8">
        <v>0.04</v>
      </c>
    </row>
    <row r="9" spans="1:2" ht="12">
      <c r="A9" s="1" t="s">
        <v>0</v>
      </c>
      <c r="B9" s="3">
        <f>B46</f>
        <v>0.5</v>
      </c>
    </row>
    <row r="10" spans="1:4" ht="12">
      <c r="A10" s="5" t="s">
        <v>17</v>
      </c>
      <c r="B10" s="3"/>
      <c r="D10" s="9" t="s">
        <v>59</v>
      </c>
    </row>
    <row r="11" spans="1:4" ht="12">
      <c r="A11" s="9" t="s">
        <v>121</v>
      </c>
      <c r="B11" s="3">
        <f>IF(B17&lt;B16,B13*B4*B3*((B17/B7)^B14),B12)</f>
        <v>25.000000000000018</v>
      </c>
      <c r="C11" s="3" t="s">
        <v>48</v>
      </c>
      <c r="D11">
        <v>21</v>
      </c>
    </row>
    <row r="12" spans="1:3" ht="15">
      <c r="A12" s="5" t="s">
        <v>122</v>
      </c>
      <c r="B12" s="3">
        <f>B3/B7-B4</f>
        <v>0</v>
      </c>
      <c r="C12" s="8" t="s">
        <v>45</v>
      </c>
    </row>
    <row r="13" spans="1:4" ht="12">
      <c r="A13" t="s">
        <v>7</v>
      </c>
      <c r="B13">
        <f>(((B14-1)^(B14-1))*B4^-(B14-1))/((B7*(B14^B14)))</f>
        <v>0.06250000000000004</v>
      </c>
      <c r="C13" t="s">
        <v>47</v>
      </c>
      <c r="D13">
        <v>22</v>
      </c>
    </row>
    <row r="14" spans="1:4" ht="15">
      <c r="A14" s="1" t="s">
        <v>29</v>
      </c>
      <c r="B14" s="3">
        <f>0.5-(B8-B7)/(B15^2)+SQRT(((B8-B7)/(B15^2)-0.5)^2+(2*B8)/(B15^2))</f>
        <v>1.9999999999999998</v>
      </c>
      <c r="C14" s="10" t="s">
        <v>30</v>
      </c>
      <c r="D14">
        <v>20</v>
      </c>
    </row>
    <row r="15" spans="1:3" ht="12">
      <c r="A15" s="1" t="s">
        <v>79</v>
      </c>
      <c r="B15" s="3">
        <f>SQRT(B5^2+B6^2-2*B9*B5*B6)</f>
        <v>0.2</v>
      </c>
      <c r="C15" s="11" t="s">
        <v>32</v>
      </c>
    </row>
    <row r="16" spans="1:4" ht="12">
      <c r="A16" s="9" t="s">
        <v>10</v>
      </c>
      <c r="B16" s="3">
        <f>(B14/(B14-1))*B7</f>
        <v>0.08000000000000002</v>
      </c>
      <c r="C16" s="11" t="s">
        <v>46</v>
      </c>
      <c r="D16">
        <v>19</v>
      </c>
    </row>
    <row r="17" spans="1:3" ht="12">
      <c r="A17" s="5" t="s">
        <v>11</v>
      </c>
      <c r="B17" s="13">
        <f>B3/B4</f>
        <v>0.04</v>
      </c>
      <c r="C17" s="14" t="s">
        <v>35</v>
      </c>
    </row>
    <row r="18" spans="1:4" ht="12">
      <c r="A18" t="s">
        <v>14</v>
      </c>
      <c r="B18" s="8">
        <f>0.5*(B15^2)*((B17/B7)^2)*B20+(B8-B7)*(B17/B7)*B19-B8*B11</f>
        <v>0</v>
      </c>
      <c r="C18" s="10" t="s">
        <v>51</v>
      </c>
      <c r="D18">
        <v>18</v>
      </c>
    </row>
    <row r="19" spans="1:3" ht="12">
      <c r="A19" s="9" t="s">
        <v>123</v>
      </c>
      <c r="B19" s="3">
        <f>B14*B13*B4*B3*((B17/B7)^(B14-1))</f>
        <v>50.00000000000002</v>
      </c>
      <c r="C19" s="3" t="s">
        <v>49</v>
      </c>
    </row>
    <row r="20" spans="1:3" ht="12">
      <c r="A20" s="9" t="s">
        <v>124</v>
      </c>
      <c r="B20" s="3">
        <f>B14*(B14-1)*B13*B4*B3*((B17/B7)^(B14-2))</f>
        <v>50.00000000000002</v>
      </c>
      <c r="C20" s="3" t="s">
        <v>50</v>
      </c>
    </row>
    <row r="21" spans="1:3" ht="12">
      <c r="A21" s="9" t="s">
        <v>125</v>
      </c>
      <c r="B21" s="3">
        <f>B13*B4*B3*((B16/B7)^B14)</f>
        <v>100.0000000000001</v>
      </c>
      <c r="C21" s="3" t="s">
        <v>53</v>
      </c>
    </row>
    <row r="22" spans="1:3" ht="12">
      <c r="A22" s="9" t="s">
        <v>126</v>
      </c>
      <c r="B22" s="3">
        <f>B14*B13*B4*B3*((B16/B7)^(B14-1))</f>
        <v>100.00000000000004</v>
      </c>
      <c r="C22" s="3" t="s">
        <v>54</v>
      </c>
    </row>
    <row r="23" spans="1:4" ht="12">
      <c r="A23" s="9" t="s">
        <v>127</v>
      </c>
      <c r="B23" s="3">
        <f>B13*B4*B3*((B17/B7)^B14)</f>
        <v>25.000000000000018</v>
      </c>
      <c r="C23" s="3" t="s">
        <v>52</v>
      </c>
      <c r="D23">
        <v>23</v>
      </c>
    </row>
    <row r="24" spans="1:3" ht="12">
      <c r="A24" s="9" t="s">
        <v>5</v>
      </c>
      <c r="B24" s="8">
        <f>0.5*(B15^2)*(B17/B7)^2</f>
        <v>0.020000000000000004</v>
      </c>
      <c r="C24" s="8" t="s">
        <v>55</v>
      </c>
    </row>
    <row r="25" spans="1:3" ht="12">
      <c r="A25" s="9" t="s">
        <v>41</v>
      </c>
      <c r="B25" s="8">
        <f>(B8-B7)*B17/B7</f>
        <v>0</v>
      </c>
      <c r="C25" s="8" t="s">
        <v>56</v>
      </c>
    </row>
    <row r="26" spans="1:3" ht="12">
      <c r="A26" s="9" t="s">
        <v>42</v>
      </c>
      <c r="B26" s="15">
        <f>-B8</f>
        <v>-0.04</v>
      </c>
      <c r="C26" s="15" t="s">
        <v>57</v>
      </c>
    </row>
    <row r="27" spans="1:3" ht="14.25">
      <c r="A27" s="9" t="s">
        <v>43</v>
      </c>
      <c r="B27" s="9">
        <f>B25^2-4*B24*B26</f>
        <v>0.0032000000000000006</v>
      </c>
      <c r="C27" s="9" t="s">
        <v>44</v>
      </c>
    </row>
    <row r="46" spans="1:2" ht="12">
      <c r="A46" s="1" t="s">
        <v>0</v>
      </c>
      <c r="B46" s="3">
        <v>0.5</v>
      </c>
    </row>
  </sheetData>
  <sheetProtection/>
  <printOptions headings="1" horizontalCentered="1"/>
  <pageMargins left="0.7" right="0.7" top="0.75" bottom="0.75" header="0.3" footer="0.3"/>
  <pageSetup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28">
      <selection activeCell="K48" sqref="K48"/>
    </sheetView>
  </sheetViews>
  <sheetFormatPr defaultColWidth="9.140625" defaultRowHeight="12.75"/>
  <cols>
    <col min="1" max="1" width="9.57421875" style="0" bestFit="1" customWidth="1"/>
  </cols>
  <sheetData>
    <row r="1" spans="2:10" ht="15">
      <c r="B1" s="6" t="s">
        <v>20</v>
      </c>
      <c r="C1" s="6"/>
      <c r="D1" s="6"/>
      <c r="E1" s="6"/>
      <c r="F1" s="6"/>
      <c r="G1" s="6"/>
      <c r="H1" s="6"/>
      <c r="I1" s="6"/>
      <c r="J1" s="6"/>
    </row>
    <row r="2" spans="1:2" ht="12">
      <c r="A2" s="5" t="s">
        <v>16</v>
      </c>
      <c r="B2" t="s">
        <v>21</v>
      </c>
    </row>
    <row r="3" spans="1:10" ht="12">
      <c r="A3" t="s">
        <v>22</v>
      </c>
      <c r="B3" s="3">
        <v>2</v>
      </c>
      <c r="C3" s="3">
        <f>B3</f>
        <v>2</v>
      </c>
      <c r="D3" s="3">
        <f aca="true" t="shared" si="0" ref="D3:J3">C3</f>
        <v>2</v>
      </c>
      <c r="E3" s="3">
        <f t="shared" si="0"/>
        <v>2</v>
      </c>
      <c r="F3" s="3">
        <f t="shared" si="0"/>
        <v>2</v>
      </c>
      <c r="G3" s="3">
        <f t="shared" si="0"/>
        <v>2</v>
      </c>
      <c r="H3" s="3">
        <f t="shared" si="0"/>
        <v>2</v>
      </c>
      <c r="I3" s="3">
        <f t="shared" si="0"/>
        <v>2</v>
      </c>
      <c r="J3" s="3">
        <f t="shared" si="0"/>
        <v>2</v>
      </c>
    </row>
    <row r="4" spans="1:10" ht="12">
      <c r="A4" t="s">
        <v>19</v>
      </c>
      <c r="B4" s="2">
        <v>100</v>
      </c>
      <c r="C4" s="2">
        <v>100</v>
      </c>
      <c r="D4" s="2">
        <v>100</v>
      </c>
      <c r="E4" s="2">
        <v>100</v>
      </c>
      <c r="F4" s="2">
        <v>100</v>
      </c>
      <c r="G4" s="2">
        <v>100</v>
      </c>
      <c r="H4" s="2">
        <v>100</v>
      </c>
      <c r="I4" s="2">
        <v>100</v>
      </c>
      <c r="J4" s="2">
        <v>100</v>
      </c>
    </row>
    <row r="5" spans="1:10" ht="15">
      <c r="A5" s="1" t="s">
        <v>23</v>
      </c>
      <c r="B5" s="3">
        <v>0.05</v>
      </c>
      <c r="C5" s="3">
        <f>B5+0.05</f>
        <v>0.1</v>
      </c>
      <c r="D5" s="3">
        <f aca="true" t="shared" si="1" ref="D5:J5">C5+0.05</f>
        <v>0.15000000000000002</v>
      </c>
      <c r="E5" s="3">
        <f t="shared" si="1"/>
        <v>0.2</v>
      </c>
      <c r="F5" s="3">
        <f t="shared" si="1"/>
        <v>0.25</v>
      </c>
      <c r="G5" s="3">
        <f t="shared" si="1"/>
        <v>0.3</v>
      </c>
      <c r="H5" s="3">
        <f t="shared" si="1"/>
        <v>0.35</v>
      </c>
      <c r="I5" s="3">
        <f t="shared" si="1"/>
        <v>0.39999999999999997</v>
      </c>
      <c r="J5" s="3">
        <f t="shared" si="1"/>
        <v>0.44999999999999996</v>
      </c>
    </row>
    <row r="6" spans="1:10" ht="12">
      <c r="A6" s="1" t="s">
        <v>24</v>
      </c>
      <c r="B6" s="3">
        <v>0.2</v>
      </c>
      <c r="C6" s="3">
        <v>0.2</v>
      </c>
      <c r="D6" s="3">
        <v>0.2</v>
      </c>
      <c r="E6" s="3">
        <v>0.2</v>
      </c>
      <c r="F6" s="3">
        <v>0.2</v>
      </c>
      <c r="G6" s="3">
        <v>0.2</v>
      </c>
      <c r="H6" s="3">
        <v>0.2</v>
      </c>
      <c r="I6" s="3">
        <v>0.2</v>
      </c>
      <c r="J6" s="3">
        <v>0.2</v>
      </c>
    </row>
    <row r="7" spans="1:10" ht="15">
      <c r="A7" s="1" t="s">
        <v>25</v>
      </c>
      <c r="B7">
        <v>0.04</v>
      </c>
      <c r="C7">
        <v>0.04</v>
      </c>
      <c r="D7">
        <v>0.04</v>
      </c>
      <c r="E7">
        <v>0.04</v>
      </c>
      <c r="F7">
        <v>0.04</v>
      </c>
      <c r="G7">
        <v>0.04</v>
      </c>
      <c r="H7">
        <v>0.04</v>
      </c>
      <c r="I7">
        <v>0.04</v>
      </c>
      <c r="J7">
        <v>0.04</v>
      </c>
    </row>
    <row r="8" spans="1:10" ht="12">
      <c r="A8" s="1" t="s">
        <v>26</v>
      </c>
      <c r="B8">
        <v>0.04</v>
      </c>
      <c r="C8">
        <v>0.04</v>
      </c>
      <c r="D8">
        <v>0.04</v>
      </c>
      <c r="E8">
        <v>0.04</v>
      </c>
      <c r="F8">
        <v>0.04</v>
      </c>
      <c r="G8">
        <v>0.04</v>
      </c>
      <c r="H8">
        <v>0.04</v>
      </c>
      <c r="I8">
        <v>0.04</v>
      </c>
      <c r="J8">
        <v>0.04</v>
      </c>
    </row>
    <row r="9" spans="1:10" ht="12">
      <c r="A9" s="1" t="s">
        <v>0</v>
      </c>
      <c r="B9" s="3">
        <f>B54</f>
        <v>-0.25</v>
      </c>
      <c r="C9" s="3">
        <f>B9</f>
        <v>-0.25</v>
      </c>
      <c r="D9" s="3">
        <f aca="true" t="shared" si="2" ref="D9:J9">C9</f>
        <v>-0.25</v>
      </c>
      <c r="E9" s="3">
        <f t="shared" si="2"/>
        <v>-0.25</v>
      </c>
      <c r="F9" s="3">
        <f t="shared" si="2"/>
        <v>-0.25</v>
      </c>
      <c r="G9" s="3">
        <f t="shared" si="2"/>
        <v>-0.25</v>
      </c>
      <c r="H9" s="3">
        <f t="shared" si="2"/>
        <v>-0.25</v>
      </c>
      <c r="I9" s="3">
        <f t="shared" si="2"/>
        <v>-0.25</v>
      </c>
      <c r="J9" s="3">
        <f t="shared" si="2"/>
        <v>-0.25</v>
      </c>
    </row>
    <row r="10" spans="1:10" ht="12">
      <c r="A10" s="5" t="s">
        <v>17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2">
      <c r="A11" s="9" t="s">
        <v>27</v>
      </c>
      <c r="B11" s="3">
        <f>IF(B17&lt;B16,B13*B4*B3*((B17/B7)^B14),B12)</f>
        <v>6.032162320799042</v>
      </c>
      <c r="C11" s="3">
        <f aca="true" t="shared" si="3" ref="C11:J11">IF(C17&lt;C16,C13*C4*C3*((C17/C7)^C14),C12)</f>
        <v>13.520419087580462</v>
      </c>
      <c r="D11" s="3">
        <f t="shared" si="3"/>
        <v>29.48381342828161</v>
      </c>
      <c r="E11" s="3">
        <f t="shared" si="3"/>
        <v>58.121827340476145</v>
      </c>
      <c r="F11" s="3">
        <f t="shared" si="3"/>
        <v>102.28077731927927</v>
      </c>
      <c r="G11" s="3">
        <f t="shared" si="3"/>
        <v>162.5168767363298</v>
      </c>
      <c r="H11" s="3">
        <f t="shared" si="3"/>
        <v>237.2419441398907</v>
      </c>
      <c r="I11" s="3">
        <f t="shared" si="3"/>
        <v>323.49751212256524</v>
      </c>
      <c r="J11" s="3">
        <f t="shared" si="3"/>
        <v>417.80281017772006</v>
      </c>
    </row>
    <row r="12" spans="1:10" ht="12">
      <c r="A12" s="5" t="s">
        <v>28</v>
      </c>
      <c r="B12" s="3">
        <f>B3/B7-B4</f>
        <v>-50</v>
      </c>
      <c r="C12" s="3">
        <f aca="true" t="shared" si="4" ref="C12:J12">C3/C7-C4</f>
        <v>-50</v>
      </c>
      <c r="D12" s="3">
        <f t="shared" si="4"/>
        <v>-50</v>
      </c>
      <c r="E12" s="3">
        <f t="shared" si="4"/>
        <v>-50</v>
      </c>
      <c r="F12" s="3">
        <f t="shared" si="4"/>
        <v>-50</v>
      </c>
      <c r="G12" s="3">
        <f t="shared" si="4"/>
        <v>-50</v>
      </c>
      <c r="H12" s="3">
        <f t="shared" si="4"/>
        <v>-50</v>
      </c>
      <c r="I12" s="3">
        <f t="shared" si="4"/>
        <v>-50</v>
      </c>
      <c r="J12" s="3">
        <f t="shared" si="4"/>
        <v>-50</v>
      </c>
    </row>
    <row r="13" spans="1:10" ht="12">
      <c r="A13" t="s">
        <v>7</v>
      </c>
      <c r="B13">
        <f>(((B14-1)^(B14-1))*B4^-(B14-1))/((B7*(B14^B14)))</f>
        <v>0.11184541618691678</v>
      </c>
      <c r="C13">
        <f aca="true" t="shared" si="5" ref="C13:J13">(((C14-1)^(C14-1))*C4^-(C14-1))/((C7*(C14^C14)))</f>
        <v>0.22869829501101102</v>
      </c>
      <c r="D13">
        <f t="shared" si="5"/>
        <v>0.45703082643161</v>
      </c>
      <c r="E13">
        <f t="shared" si="5"/>
        <v>0.8361577446170572</v>
      </c>
      <c r="F13">
        <f t="shared" si="5"/>
        <v>1.3843978102654604</v>
      </c>
      <c r="G13">
        <f t="shared" si="5"/>
        <v>2.0945131586736014</v>
      </c>
      <c r="H13">
        <f t="shared" si="5"/>
        <v>2.939801820787289</v>
      </c>
      <c r="I13">
        <f t="shared" si="5"/>
        <v>3.8839300905283918</v>
      </c>
      <c r="J13">
        <f t="shared" si="5"/>
        <v>4.889333328517443</v>
      </c>
    </row>
    <row r="14" spans="1:10" ht="15">
      <c r="A14" s="1" t="s">
        <v>29</v>
      </c>
      <c r="B14" s="3">
        <f>0.5-(B8-B7)/(B15^2)+SQRT(((B8-B7)/(B15^2)-0.5)^2+(2*B8)/(B15^2))</f>
        <v>1.8907589749182958</v>
      </c>
      <c r="C14" s="3">
        <f aca="true" t="shared" si="6" ref="C14:J14">0.5-(C8-C7)/(C15^2)+SQRT(((C8-C7)/(C15^2)-0.5)^2+(2*C8)/(C15^2))</f>
        <v>1.7583057392117916</v>
      </c>
      <c r="D14" s="3">
        <f t="shared" si="6"/>
        <v>1.6323683431269742</v>
      </c>
      <c r="E14" s="3">
        <f t="shared" si="6"/>
        <v>1.5246950765959597</v>
      </c>
      <c r="F14" s="3">
        <f t="shared" si="6"/>
        <v>1.4367235346633267</v>
      </c>
      <c r="G14" s="3">
        <f t="shared" si="6"/>
        <v>1.3660254037844386</v>
      </c>
      <c r="H14" s="3">
        <f t="shared" si="6"/>
        <v>1.3093598032638147</v>
      </c>
      <c r="I14" s="3">
        <f t="shared" si="6"/>
        <v>1.2637626158259734</v>
      </c>
      <c r="J14" s="3">
        <f t="shared" si="6"/>
        <v>1.2268155677785235</v>
      </c>
    </row>
    <row r="15" spans="1:10" ht="12">
      <c r="A15" s="1" t="s">
        <v>31</v>
      </c>
      <c r="B15" s="3">
        <f>SQRT(B5^2+B6^2-2*B9*B5*B6)</f>
        <v>0.21794494717703372</v>
      </c>
      <c r="C15" s="3">
        <f aca="true" t="shared" si="7" ref="C15:J15">SQRT(C5^2+C6^2-2*C9*C5*C6)</f>
        <v>0.24494897427831783</v>
      </c>
      <c r="D15" s="3">
        <f t="shared" si="7"/>
        <v>0.2783882181415011</v>
      </c>
      <c r="E15" s="3">
        <f t="shared" si="7"/>
        <v>0.31622776601683794</v>
      </c>
      <c r="F15" s="3">
        <f t="shared" si="7"/>
        <v>0.3570714214271425</v>
      </c>
      <c r="G15" s="3">
        <f t="shared" si="7"/>
        <v>0.4</v>
      </c>
      <c r="H15" s="3">
        <f t="shared" si="7"/>
        <v>0.4444097208657794</v>
      </c>
      <c r="I15" s="3">
        <f t="shared" si="7"/>
        <v>0.4898979485566356</v>
      </c>
      <c r="J15" s="3">
        <f t="shared" si="7"/>
        <v>0.5361902647381804</v>
      </c>
    </row>
    <row r="16" spans="1:10" ht="12">
      <c r="A16" t="s">
        <v>33</v>
      </c>
      <c r="B16" s="3">
        <f>(B14/(B14-1))*B7</f>
        <v>0.08490552565430955</v>
      </c>
      <c r="C16" s="3">
        <f aca="true" t="shared" si="8" ref="C16:J16">(C14/(C14-1))*C7</f>
        <v>0.09274917217635376</v>
      </c>
      <c r="D16" s="3">
        <f t="shared" si="8"/>
        <v>0.10325427329617026</v>
      </c>
      <c r="E16" s="3">
        <f t="shared" si="8"/>
        <v>0.11623475382979802</v>
      </c>
      <c r="F16" s="3">
        <f t="shared" si="8"/>
        <v>0.13159112533478712</v>
      </c>
      <c r="G16" s="3">
        <f t="shared" si="8"/>
        <v>0.1492820323027551</v>
      </c>
      <c r="H16" s="3">
        <f t="shared" si="8"/>
        <v>0.16929928057230156</v>
      </c>
      <c r="I16" s="3">
        <f t="shared" si="8"/>
        <v>0.19165151389911678</v>
      </c>
      <c r="J16" s="3">
        <f t="shared" si="8"/>
        <v>0.21635473786816267</v>
      </c>
    </row>
    <row r="17" spans="1:10" ht="12">
      <c r="A17" s="5" t="s">
        <v>34</v>
      </c>
      <c r="B17" s="13">
        <f>B3/B4</f>
        <v>0.02</v>
      </c>
      <c r="C17" s="13">
        <f aca="true" t="shared" si="9" ref="C17:J17">C3/C4</f>
        <v>0.02</v>
      </c>
      <c r="D17" s="13">
        <f t="shared" si="9"/>
        <v>0.02</v>
      </c>
      <c r="E17" s="13">
        <f t="shared" si="9"/>
        <v>0.02</v>
      </c>
      <c r="F17" s="13">
        <f t="shared" si="9"/>
        <v>0.02</v>
      </c>
      <c r="G17" s="13">
        <f t="shared" si="9"/>
        <v>0.02</v>
      </c>
      <c r="H17" s="13">
        <f t="shared" si="9"/>
        <v>0.02</v>
      </c>
      <c r="I17" s="13">
        <f t="shared" si="9"/>
        <v>0.02</v>
      </c>
      <c r="J17" s="13">
        <f t="shared" si="9"/>
        <v>0.02</v>
      </c>
    </row>
    <row r="18" spans="1:10" ht="12">
      <c r="A18" t="s">
        <v>14</v>
      </c>
      <c r="B18" s="8">
        <f>0.5*(B15^2)*((B17/B7)^2)*B20+(B8-B7)*(B17/B7)*B19-B8*B11</f>
        <v>0</v>
      </c>
      <c r="C18" s="8">
        <f aca="true" t="shared" si="10" ref="C18:J18">0.5*(C15^2)*((C17/C7)^2)*C20+(C8-C7)*(C17/C7)*C19-C8*C11</f>
        <v>0</v>
      </c>
      <c r="D18" s="8">
        <f t="shared" si="10"/>
        <v>0</v>
      </c>
      <c r="E18" s="8">
        <f t="shared" si="10"/>
        <v>0</v>
      </c>
      <c r="F18" s="8">
        <f t="shared" si="10"/>
        <v>0</v>
      </c>
      <c r="G18" s="8">
        <f t="shared" si="10"/>
        <v>0</v>
      </c>
      <c r="H18" s="8">
        <f t="shared" si="10"/>
        <v>0</v>
      </c>
      <c r="I18" s="8">
        <f t="shared" si="10"/>
        <v>0</v>
      </c>
      <c r="J18" s="8">
        <f t="shared" si="10"/>
        <v>0</v>
      </c>
    </row>
    <row r="19" spans="1:10" ht="12">
      <c r="A19" s="9" t="s">
        <v>36</v>
      </c>
      <c r="B19" s="3">
        <f>B14*B13*B4*B3*((B17/B7)^(B14-1))</f>
        <v>22.81073009242953</v>
      </c>
      <c r="C19" s="3">
        <f aca="true" t="shared" si="11" ref="C19:J19">C14*C13*C4*C3*((C17/C7)^(C14-1))</f>
        <v>47.54606095648276</v>
      </c>
      <c r="D19" s="3">
        <f t="shared" si="11"/>
        <v>96.25688734997776</v>
      </c>
      <c r="E19" s="3">
        <f t="shared" si="11"/>
        <v>177.23612797756886</v>
      </c>
      <c r="F19" s="3">
        <f t="shared" si="11"/>
        <v>293.8983998365351</v>
      </c>
      <c r="G19" s="3">
        <f t="shared" si="11"/>
        <v>444.00436433106154</v>
      </c>
      <c r="H19" s="3">
        <f t="shared" si="11"/>
        <v>621.2701306098644</v>
      </c>
      <c r="I19" s="3">
        <f t="shared" si="11"/>
        <v>817.6481242664152</v>
      </c>
      <c r="J19" s="3">
        <f t="shared" si="11"/>
        <v>1025.1339835752844</v>
      </c>
    </row>
    <row r="20" spans="1:10" ht="12">
      <c r="A20" s="9" t="s">
        <v>37</v>
      </c>
      <c r="B20" s="3">
        <f>B14*(B14-1)*B13*B4*B3*((B17/B7)^(B14-2))</f>
        <v>40.6377251085409</v>
      </c>
      <c r="C20" s="3">
        <f aca="true" t="shared" si="12" ref="C20:J20">C14*(C14-1)*C13*C4*C3*((C17/C7)^(C14-2))</f>
        <v>72.10890180042912</v>
      </c>
      <c r="D20" s="3">
        <f t="shared" si="12"/>
        <v>121.73961673613047</v>
      </c>
      <c r="E20" s="3">
        <f t="shared" si="12"/>
        <v>185.98984748952358</v>
      </c>
      <c r="F20" s="3">
        <f t="shared" si="12"/>
        <v>256.70469601701456</v>
      </c>
      <c r="G20" s="3">
        <f t="shared" si="12"/>
        <v>325.03375347265955</v>
      </c>
      <c r="H20" s="3">
        <f t="shared" si="12"/>
        <v>384.39201075830425</v>
      </c>
      <c r="I20" s="3">
        <f t="shared" si="12"/>
        <v>431.3300161634205</v>
      </c>
      <c r="J20" s="3">
        <f t="shared" si="12"/>
        <v>465.0326930673755</v>
      </c>
    </row>
    <row r="21" spans="1:10" ht="12">
      <c r="A21" s="9" t="s">
        <v>38</v>
      </c>
      <c r="B21" s="3">
        <f>B13*B4*B3*((B16/B7)^B14)</f>
        <v>92.83074753229018</v>
      </c>
      <c r="C21" s="3">
        <f aca="true" t="shared" si="13" ref="C21:J21">C13*C4*C3*((C16/C7)^C14)</f>
        <v>200.6846627532697</v>
      </c>
      <c r="D21" s="3">
        <f t="shared" si="13"/>
        <v>429.79681952747086</v>
      </c>
      <c r="E21" s="3">
        <f t="shared" si="13"/>
        <v>850.497148885274</v>
      </c>
      <c r="F21" s="3">
        <f t="shared" si="13"/>
        <v>1532.2031070959342</v>
      </c>
      <c r="G21" s="3">
        <f t="shared" si="13"/>
        <v>2531.675089471134</v>
      </c>
      <c r="H21" s="3">
        <f t="shared" si="13"/>
        <v>3888.539500270535</v>
      </c>
      <c r="I21" s="3">
        <f t="shared" si="13"/>
        <v>5626.4120104789545</v>
      </c>
      <c r="J21" s="3">
        <f t="shared" si="13"/>
        <v>7756.50379250808</v>
      </c>
    </row>
    <row r="22" spans="1:10" ht="12">
      <c r="A22" s="9" t="s">
        <v>39</v>
      </c>
      <c r="B22" s="3">
        <f>B14*B13*B4*B3*((B16/B7)^(B14-1))</f>
        <v>82.68982151276191</v>
      </c>
      <c r="C22" s="3">
        <f aca="true" t="shared" si="14" ref="C22:J22">C14*C13*C4*C3*((C16/C7)^(C14-1))</f>
        <v>152.18033153758728</v>
      </c>
      <c r="D22" s="3">
        <f t="shared" si="14"/>
        <v>271.7899026458299</v>
      </c>
      <c r="E22" s="3">
        <f t="shared" si="14"/>
        <v>446.25166667900413</v>
      </c>
      <c r="F22" s="3">
        <f t="shared" si="14"/>
        <v>669.1491567530682</v>
      </c>
      <c r="G22" s="3">
        <f t="shared" si="14"/>
        <v>926.6573968746767</v>
      </c>
      <c r="H22" s="3">
        <f t="shared" si="14"/>
        <v>1202.9578147872653</v>
      </c>
      <c r="I22" s="3">
        <f t="shared" si="14"/>
        <v>1484.037149598603</v>
      </c>
      <c r="J22" s="3">
        <f t="shared" si="14"/>
        <v>1759.2958116739912</v>
      </c>
    </row>
    <row r="23" spans="1:10" ht="12">
      <c r="A23" s="9" t="s">
        <v>40</v>
      </c>
      <c r="B23" s="3">
        <f>B13*B4*B3*((B17/B7)^B14)</f>
        <v>6.032162320799042</v>
      </c>
      <c r="C23" s="3">
        <f aca="true" t="shared" si="15" ref="C23:J23">C13*C4*C3*((C17/C7)^C14)</f>
        <v>13.520419087580462</v>
      </c>
      <c r="D23" s="3">
        <f t="shared" si="15"/>
        <v>29.48381342828161</v>
      </c>
      <c r="E23" s="3">
        <f t="shared" si="15"/>
        <v>58.121827340476145</v>
      </c>
      <c r="F23" s="3">
        <f t="shared" si="15"/>
        <v>102.28077731927927</v>
      </c>
      <c r="G23" s="3">
        <f t="shared" si="15"/>
        <v>162.5168767363298</v>
      </c>
      <c r="H23" s="3">
        <f t="shared" si="15"/>
        <v>237.2419441398907</v>
      </c>
      <c r="I23" s="3">
        <f t="shared" si="15"/>
        <v>323.49751212256524</v>
      </c>
      <c r="J23" s="3">
        <f t="shared" si="15"/>
        <v>417.80281017772006</v>
      </c>
    </row>
    <row r="24" spans="1:10" ht="12">
      <c r="A24" s="9" t="s">
        <v>5</v>
      </c>
      <c r="B24" s="8">
        <f>0.5*(B15^2)*(B17/B7)^2</f>
        <v>0.005937500000000003</v>
      </c>
      <c r="C24" s="8">
        <f aca="true" t="shared" si="16" ref="C24:J24">0.5*(C15^2)*(C17/C7)^2</f>
        <v>0.0075000000000000015</v>
      </c>
      <c r="D24" s="8">
        <f t="shared" si="16"/>
        <v>0.009687500000000002</v>
      </c>
      <c r="E24" s="8">
        <f t="shared" si="16"/>
        <v>0.0125</v>
      </c>
      <c r="F24" s="8">
        <f t="shared" si="16"/>
        <v>0.0159375</v>
      </c>
      <c r="G24" s="8">
        <f t="shared" si="16"/>
        <v>0.020000000000000004</v>
      </c>
      <c r="H24" s="8">
        <f t="shared" si="16"/>
        <v>0.024687499999999994</v>
      </c>
      <c r="I24" s="8">
        <f t="shared" si="16"/>
        <v>0.03</v>
      </c>
      <c r="J24" s="8">
        <f t="shared" si="16"/>
        <v>0.035937500000000004</v>
      </c>
    </row>
    <row r="25" spans="1:10" ht="12">
      <c r="A25" s="9" t="s">
        <v>41</v>
      </c>
      <c r="B25" s="8">
        <f>(B8-B7)*B17/B7</f>
        <v>0</v>
      </c>
      <c r="C25" s="8">
        <f aca="true" t="shared" si="17" ref="C25:J25">(C8-C7)*C17/C7</f>
        <v>0</v>
      </c>
      <c r="D25" s="8">
        <f t="shared" si="17"/>
        <v>0</v>
      </c>
      <c r="E25" s="8">
        <f t="shared" si="17"/>
        <v>0</v>
      </c>
      <c r="F25" s="8">
        <f t="shared" si="17"/>
        <v>0</v>
      </c>
      <c r="G25" s="8">
        <f t="shared" si="17"/>
        <v>0</v>
      </c>
      <c r="H25" s="8">
        <f t="shared" si="17"/>
        <v>0</v>
      </c>
      <c r="I25" s="8">
        <f t="shared" si="17"/>
        <v>0</v>
      </c>
      <c r="J25" s="8">
        <f t="shared" si="17"/>
        <v>0</v>
      </c>
    </row>
    <row r="26" spans="1:10" ht="12">
      <c r="A26" s="9" t="s">
        <v>42</v>
      </c>
      <c r="B26" s="15">
        <f>-B8</f>
        <v>-0.04</v>
      </c>
      <c r="C26" s="15">
        <f aca="true" t="shared" si="18" ref="C26:J26">-C8</f>
        <v>-0.04</v>
      </c>
      <c r="D26" s="15">
        <f t="shared" si="18"/>
        <v>-0.04</v>
      </c>
      <c r="E26" s="15">
        <f t="shared" si="18"/>
        <v>-0.04</v>
      </c>
      <c r="F26" s="15">
        <f t="shared" si="18"/>
        <v>-0.04</v>
      </c>
      <c r="G26" s="15">
        <f t="shared" si="18"/>
        <v>-0.04</v>
      </c>
      <c r="H26" s="15">
        <f t="shared" si="18"/>
        <v>-0.04</v>
      </c>
      <c r="I26" s="15">
        <f t="shared" si="18"/>
        <v>-0.04</v>
      </c>
      <c r="J26" s="15">
        <f t="shared" si="18"/>
        <v>-0.04</v>
      </c>
    </row>
    <row r="27" spans="1:10" ht="14.25">
      <c r="A27" s="9" t="s">
        <v>43</v>
      </c>
      <c r="B27" s="9">
        <f>B25^2-4*B24*B26</f>
        <v>0.0009500000000000004</v>
      </c>
      <c r="C27" s="9">
        <f aca="true" t="shared" si="19" ref="C27:J27">C25^2-4*C24*C26</f>
        <v>0.0012000000000000003</v>
      </c>
      <c r="D27" s="9">
        <f t="shared" si="19"/>
        <v>0.0015500000000000004</v>
      </c>
      <c r="E27" s="9">
        <f t="shared" si="19"/>
        <v>0.002</v>
      </c>
      <c r="F27" s="9">
        <f t="shared" si="19"/>
        <v>0.00255</v>
      </c>
      <c r="G27" s="9">
        <f t="shared" si="19"/>
        <v>0.0032000000000000006</v>
      </c>
      <c r="H27" s="9">
        <f t="shared" si="19"/>
        <v>0.0039499999999999995</v>
      </c>
      <c r="I27" s="9">
        <f t="shared" si="19"/>
        <v>0.0048</v>
      </c>
      <c r="J27" s="9">
        <f t="shared" si="19"/>
        <v>0.005750000000000001</v>
      </c>
    </row>
    <row r="30" spans="1:10" ht="12">
      <c r="A30" s="9" t="s">
        <v>113</v>
      </c>
      <c r="B30" s="3">
        <v>0.6031661492079662</v>
      </c>
      <c r="C30" s="3">
        <v>0.11497576449526813</v>
      </c>
      <c r="D30" s="3">
        <v>0.05294697722448193</v>
      </c>
      <c r="E30" s="3">
        <v>0.11497576449526813</v>
      </c>
      <c r="F30" s="3">
        <v>0.603166149207963</v>
      </c>
      <c r="G30" s="3">
        <v>3.125000000000003</v>
      </c>
      <c r="H30" s="3">
        <v>11.754584093574692</v>
      </c>
      <c r="I30" s="3">
        <v>32.24888415298533</v>
      </c>
      <c r="J30" s="3">
        <v>69.32077003468291</v>
      </c>
    </row>
    <row r="31" spans="1:10" ht="12">
      <c r="A31" s="9" t="s">
        <v>110</v>
      </c>
      <c r="B31" s="3">
        <v>1.3042800440162658</v>
      </c>
      <c r="C31" s="3">
        <v>0.9085124428633853</v>
      </c>
      <c r="D31" s="3">
        <v>1.3042800440162658</v>
      </c>
      <c r="E31" s="3">
        <v>3.125000000000003</v>
      </c>
      <c r="F31" s="3">
        <v>8.624969456845225</v>
      </c>
      <c r="G31" s="3">
        <v>21.892951833644982</v>
      </c>
      <c r="H31" s="3">
        <v>47.68862425599763</v>
      </c>
      <c r="I31" s="3">
        <v>89.45253273888812</v>
      </c>
      <c r="J31" s="3">
        <v>148.08945117330725</v>
      </c>
    </row>
    <row r="32" spans="1:10" ht="12">
      <c r="A32" s="9" t="s">
        <v>114</v>
      </c>
      <c r="B32" s="3">
        <v>2.4047566310435684</v>
      </c>
      <c r="C32" s="3">
        <v>3.125000000000003</v>
      </c>
      <c r="D32" s="3">
        <v>6.032162320799042</v>
      </c>
      <c r="E32" s="3">
        <v>13.520419087580462</v>
      </c>
      <c r="F32" s="3">
        <v>29.48381342828161</v>
      </c>
      <c r="G32" s="3">
        <v>58.121827340476145</v>
      </c>
      <c r="H32" s="3">
        <v>102.28077731927927</v>
      </c>
      <c r="I32" s="3">
        <v>162.51687673632955</v>
      </c>
      <c r="J32" s="3">
        <v>237.2419441398907</v>
      </c>
    </row>
    <row r="33" spans="1:10" ht="12">
      <c r="A33" s="9" t="s">
        <v>111</v>
      </c>
      <c r="B33" s="3">
        <v>3.9667652175971018</v>
      </c>
      <c r="C33" s="3">
        <v>7.261748012257668</v>
      </c>
      <c r="D33" s="3">
        <v>15.418949290312517</v>
      </c>
      <c r="E33" s="3">
        <v>32.24888415298539</v>
      </c>
      <c r="F33" s="3">
        <v>61.77412665255303</v>
      </c>
      <c r="G33" s="3">
        <v>106.66517381902827</v>
      </c>
      <c r="H33" s="3">
        <v>167.37837550662923</v>
      </c>
      <c r="I33" s="3">
        <v>242.31038198998695</v>
      </c>
      <c r="J33" s="3">
        <v>328.5424706944384</v>
      </c>
    </row>
    <row r="34" spans="1:10" ht="12">
      <c r="A34" s="9" t="s">
        <v>115</v>
      </c>
      <c r="B34" s="3">
        <v>6.032162320799042</v>
      </c>
      <c r="C34" s="3">
        <v>13.520419087580462</v>
      </c>
      <c r="D34" s="3">
        <v>29.48381342828161</v>
      </c>
      <c r="E34" s="3">
        <v>58.121827340476145</v>
      </c>
      <c r="F34" s="3">
        <v>102.28077731927927</v>
      </c>
      <c r="G34" s="3">
        <v>162.5168767363298</v>
      </c>
      <c r="H34" s="3">
        <v>237.2419441398907</v>
      </c>
      <c r="I34" s="3">
        <v>323.49751212256524</v>
      </c>
      <c r="J34" s="3">
        <v>417.80281017772006</v>
      </c>
    </row>
    <row r="35" spans="1:10" ht="12">
      <c r="A35" s="9" t="s">
        <v>112</v>
      </c>
      <c r="B35" s="3">
        <v>8.624969456845225</v>
      </c>
      <c r="C35" s="3">
        <v>21.892951833644982</v>
      </c>
      <c r="D35" s="3">
        <v>47.68862425599763</v>
      </c>
      <c r="E35" s="3">
        <v>89.45253273888812</v>
      </c>
      <c r="F35" s="3">
        <v>148.0894511733075</v>
      </c>
      <c r="G35" s="3">
        <v>222.07436189398481</v>
      </c>
      <c r="H35" s="3">
        <v>308.3265474665397</v>
      </c>
      <c r="I35" s="3">
        <v>403.17042854386034</v>
      </c>
      <c r="J35" s="3">
        <v>503.0372310216666</v>
      </c>
    </row>
    <row r="36" ht="12">
      <c r="A36" s="9" t="s">
        <v>3</v>
      </c>
    </row>
    <row r="54" spans="1:2" ht="12">
      <c r="A54" s="1" t="s">
        <v>0</v>
      </c>
      <c r="B54" s="3">
        <v>-0.25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24" sqref="A1:D24"/>
    </sheetView>
  </sheetViews>
  <sheetFormatPr defaultColWidth="9.140625" defaultRowHeight="12.75"/>
  <cols>
    <col min="2" max="2" width="10.421875" style="0" bestFit="1" customWidth="1"/>
    <col min="3" max="3" width="52.00390625" style="0" bestFit="1" customWidth="1"/>
    <col min="4" max="4" width="9.57421875" style="0" customWidth="1"/>
  </cols>
  <sheetData>
    <row r="1" spans="1:3" ht="15">
      <c r="A1" s="6" t="s">
        <v>74</v>
      </c>
      <c r="B1" s="6"/>
      <c r="C1" s="6"/>
    </row>
    <row r="2" spans="1:2" ht="12">
      <c r="A2" t="s">
        <v>16</v>
      </c>
      <c r="B2" s="9" t="s">
        <v>116</v>
      </c>
    </row>
    <row r="3" spans="1:2" ht="12">
      <c r="A3" t="s">
        <v>2</v>
      </c>
      <c r="B3" s="3">
        <v>1</v>
      </c>
    </row>
    <row r="4" spans="1:2" ht="12">
      <c r="A4" t="s">
        <v>76</v>
      </c>
      <c r="B4" s="3">
        <v>2</v>
      </c>
    </row>
    <row r="5" spans="1:2" ht="12">
      <c r="A5" t="s">
        <v>77</v>
      </c>
      <c r="B5" s="3">
        <f>B3*B4</f>
        <v>2</v>
      </c>
    </row>
    <row r="6" spans="1:2" ht="12">
      <c r="A6" t="s">
        <v>19</v>
      </c>
      <c r="B6" s="3">
        <v>100</v>
      </c>
    </row>
    <row r="7" spans="1:2" ht="12">
      <c r="A7" s="1" t="s">
        <v>1</v>
      </c>
      <c r="B7" s="3">
        <v>0.2</v>
      </c>
    </row>
    <row r="8" spans="1:2" ht="12">
      <c r="A8" s="1" t="s">
        <v>5</v>
      </c>
      <c r="B8" s="3">
        <v>0.2</v>
      </c>
    </row>
    <row r="9" spans="1:2" ht="12">
      <c r="A9" s="1" t="s">
        <v>0</v>
      </c>
      <c r="B9" s="3">
        <v>-0.5</v>
      </c>
    </row>
    <row r="10" spans="1:2" ht="12">
      <c r="A10" s="5" t="s">
        <v>0</v>
      </c>
      <c r="B10" s="3">
        <v>0.04</v>
      </c>
    </row>
    <row r="11" spans="1:2" ht="12">
      <c r="A11" s="1" t="s">
        <v>78</v>
      </c>
      <c r="B11" s="3">
        <v>0.01</v>
      </c>
    </row>
    <row r="12" spans="1:2" ht="12">
      <c r="A12" s="1" t="s">
        <v>8</v>
      </c>
      <c r="B12" s="3">
        <v>0.01</v>
      </c>
    </row>
    <row r="13" spans="1:2" ht="12">
      <c r="A13" s="5" t="s">
        <v>17</v>
      </c>
      <c r="B13" s="3"/>
    </row>
    <row r="14" spans="1:3" ht="12">
      <c r="A14" s="1" t="s">
        <v>79</v>
      </c>
      <c r="B14" s="3">
        <f>B10-B11-B12</f>
        <v>0.019999999999999997</v>
      </c>
      <c r="C14" s="8" t="s">
        <v>80</v>
      </c>
    </row>
    <row r="15" spans="1:4" ht="12">
      <c r="A15" t="s">
        <v>81</v>
      </c>
      <c r="B15" s="8">
        <f>IF(B5&lt;B19,(B6/(B17-1))*((B5/B19)^B17),B16)</f>
        <v>25.00000000000001</v>
      </c>
      <c r="C15" s="8" t="s">
        <v>82</v>
      </c>
      <c r="D15">
        <v>34</v>
      </c>
    </row>
    <row r="16" spans="1:3" ht="12">
      <c r="A16" s="5" t="s">
        <v>83</v>
      </c>
      <c r="B16" s="8">
        <f>B5/B14-B6</f>
        <v>0</v>
      </c>
      <c r="C16" s="8" t="s">
        <v>84</v>
      </c>
    </row>
    <row r="17" spans="1:4" ht="15">
      <c r="A17" s="1" t="s">
        <v>29</v>
      </c>
      <c r="B17" s="8">
        <f>(1/B18^2)*(-(B9*B7*B8+B11+B12-0.5*(B18^2))+SQRT((B9*B7*B8+B11+B12-0.5*(B18^2))^2+(2*B10)*(B18^2)))</f>
        <v>2</v>
      </c>
      <c r="C17" s="9"/>
      <c r="D17">
        <v>29</v>
      </c>
    </row>
    <row r="18" spans="1:3" ht="15">
      <c r="A18" s="18" t="s">
        <v>85</v>
      </c>
      <c r="B18" s="3">
        <f>SQRT(B7^2+B8^2+2*B9*B7*B8)</f>
        <v>0.2</v>
      </c>
      <c r="C18" s="8" t="s">
        <v>86</v>
      </c>
    </row>
    <row r="19" spans="1:4" ht="12">
      <c r="A19" t="s">
        <v>87</v>
      </c>
      <c r="B19" s="8">
        <f>B6*B14*(B17/(B17-1))</f>
        <v>3.9999999999999996</v>
      </c>
      <c r="C19" s="8" t="s">
        <v>88</v>
      </c>
      <c r="D19">
        <v>33</v>
      </c>
    </row>
    <row r="20" spans="1:4" ht="12">
      <c r="A20" t="s">
        <v>14</v>
      </c>
      <c r="B20" s="8">
        <f>0.5*(B18^2)*((B5/B14)^2)*B22+(B9*B7*B8+B11+B12)*(B5/B14)*B21-B10*B15</f>
        <v>0</v>
      </c>
      <c r="C20" s="10" t="s">
        <v>89</v>
      </c>
      <c r="D20">
        <v>27</v>
      </c>
    </row>
    <row r="21" spans="1:4" ht="12">
      <c r="A21" s="9" t="s">
        <v>128</v>
      </c>
      <c r="B21" s="8">
        <f>B23*B17*((B5/B14)^(B17-1))</f>
        <v>0.5000000000000001</v>
      </c>
      <c r="C21" s="8" t="s">
        <v>90</v>
      </c>
      <c r="D21">
        <v>35</v>
      </c>
    </row>
    <row r="22" spans="1:3" ht="12">
      <c r="A22" s="9" t="s">
        <v>129</v>
      </c>
      <c r="B22" s="8">
        <f>B23*B17*(B17-1)*(B5/B14)^(B17-2)</f>
        <v>0.005</v>
      </c>
      <c r="C22" s="8" t="s">
        <v>91</v>
      </c>
    </row>
    <row r="23" spans="1:3" ht="12">
      <c r="A23" s="9" t="s">
        <v>7</v>
      </c>
      <c r="B23" s="12">
        <f>((B19/B14)-B6)/((B19/B14)^B17)</f>
        <v>0.0025</v>
      </c>
      <c r="C23" s="12" t="s">
        <v>92</v>
      </c>
    </row>
    <row r="24" spans="1:4" ht="12">
      <c r="A24" s="9" t="s">
        <v>93</v>
      </c>
      <c r="B24" s="8">
        <f>B23*(B5/B14)^B17</f>
        <v>25.00000000000001</v>
      </c>
      <c r="C24" s="8" t="s">
        <v>94</v>
      </c>
      <c r="D24" s="9" t="s">
        <v>3</v>
      </c>
    </row>
    <row r="25" spans="1:4" ht="12">
      <c r="A25" s="9" t="s">
        <v>95</v>
      </c>
      <c r="B25" s="8">
        <f>B19/B14-B6</f>
        <v>100</v>
      </c>
      <c r="C25" s="8" t="s">
        <v>96</v>
      </c>
      <c r="D25" s="9" t="s">
        <v>3</v>
      </c>
    </row>
    <row r="26" spans="1:3" ht="12">
      <c r="A26" s="9" t="s">
        <v>95</v>
      </c>
      <c r="B26" s="8">
        <f>(B6/(B17-1))*((B19/B19)^B17)</f>
        <v>100</v>
      </c>
      <c r="C26" s="8" t="s">
        <v>101</v>
      </c>
    </row>
    <row r="27" spans="1:4" ht="12">
      <c r="A27" s="9" t="s">
        <v>97</v>
      </c>
      <c r="B27" s="8">
        <f>(1/B14)*((B19/B19)^(B17-1))</f>
        <v>50.00000000000001</v>
      </c>
      <c r="C27" s="8" t="s">
        <v>102</v>
      </c>
      <c r="D27" s="9" t="s">
        <v>3</v>
      </c>
    </row>
    <row r="28" spans="1:3" ht="12">
      <c r="A28" s="9" t="s">
        <v>97</v>
      </c>
      <c r="B28" s="8">
        <f>1/B14</f>
        <v>50.00000000000001</v>
      </c>
      <c r="C28" s="8" t="s">
        <v>98</v>
      </c>
    </row>
    <row r="29" spans="1:2" ht="15">
      <c r="A29" s="1" t="s">
        <v>29</v>
      </c>
      <c r="B29" s="10" t="s">
        <v>107</v>
      </c>
    </row>
  </sheetData>
  <sheetProtection/>
  <printOptions headings="1" horizontalCentered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E1" sqref="E1"/>
    </sheetView>
  </sheetViews>
  <sheetFormatPr defaultColWidth="9.140625" defaultRowHeight="12.75"/>
  <cols>
    <col min="2" max="2" width="10.421875" style="0" bestFit="1" customWidth="1"/>
    <col min="3" max="3" width="52.00390625" style="0" bestFit="1" customWidth="1"/>
  </cols>
  <sheetData>
    <row r="1" spans="1:3" ht="15">
      <c r="A1" s="6" t="s">
        <v>74</v>
      </c>
      <c r="B1" s="6"/>
      <c r="C1" s="6"/>
    </row>
    <row r="2" spans="1:2" ht="12">
      <c r="A2" t="s">
        <v>16</v>
      </c>
      <c r="B2" s="9" t="s">
        <v>130</v>
      </c>
    </row>
    <row r="3" spans="1:3" ht="12">
      <c r="A3" t="s">
        <v>2</v>
      </c>
      <c r="B3" s="3">
        <v>50</v>
      </c>
      <c r="C3" s="9" t="s">
        <v>131</v>
      </c>
    </row>
    <row r="4" spans="1:2" ht="12">
      <c r="A4" t="s">
        <v>76</v>
      </c>
      <c r="B4" s="3">
        <v>20</v>
      </c>
    </row>
    <row r="5" spans="1:2" ht="12">
      <c r="A5" t="s">
        <v>77</v>
      </c>
      <c r="B5" s="3">
        <f>B3*B4</f>
        <v>1000</v>
      </c>
    </row>
    <row r="6" spans="1:2" ht="12">
      <c r="A6" t="s">
        <v>19</v>
      </c>
      <c r="B6" s="3">
        <v>25000</v>
      </c>
    </row>
    <row r="7" spans="1:2" ht="12">
      <c r="A7" s="1" t="s">
        <v>1</v>
      </c>
      <c r="B7" s="3">
        <v>0.2</v>
      </c>
    </row>
    <row r="8" spans="1:2" ht="12">
      <c r="A8" s="1" t="s">
        <v>5</v>
      </c>
      <c r="B8" s="3">
        <v>0.2</v>
      </c>
    </row>
    <row r="9" spans="1:2" ht="12">
      <c r="A9" s="1" t="s">
        <v>0</v>
      </c>
      <c r="B9" s="3">
        <v>-0.5</v>
      </c>
    </row>
    <row r="10" spans="1:2" ht="12">
      <c r="A10" s="5" t="s">
        <v>0</v>
      </c>
      <c r="B10" s="3">
        <v>0.04</v>
      </c>
    </row>
    <row r="11" spans="1:2" ht="12">
      <c r="A11" s="1" t="s">
        <v>78</v>
      </c>
      <c r="B11" s="3">
        <v>0</v>
      </c>
    </row>
    <row r="12" spans="1:2" ht="12">
      <c r="A12" s="1" t="s">
        <v>8</v>
      </c>
      <c r="B12" s="3">
        <v>0</v>
      </c>
    </row>
    <row r="13" spans="1:4" ht="12">
      <c r="A13" s="5" t="s">
        <v>17</v>
      </c>
      <c r="B13" s="3"/>
      <c r="D13" s="9" t="s">
        <v>59</v>
      </c>
    </row>
    <row r="14" spans="1:3" ht="12">
      <c r="A14" s="1" t="s">
        <v>79</v>
      </c>
      <c r="B14" s="3">
        <f>B10-B11-B12</f>
        <v>0.04</v>
      </c>
      <c r="C14" s="8" t="s">
        <v>80</v>
      </c>
    </row>
    <row r="15" spans="1:4" ht="12">
      <c r="A15" t="s">
        <v>81</v>
      </c>
      <c r="B15" s="8">
        <f>IF(B5&lt;B19,(B6/(B17-1))*((B5/B19)^B17),B16)</f>
        <v>4155.560744019267</v>
      </c>
      <c r="C15" s="8" t="s">
        <v>82</v>
      </c>
      <c r="D15">
        <v>34</v>
      </c>
    </row>
    <row r="16" spans="1:3" ht="12">
      <c r="A16" s="5" t="s">
        <v>83</v>
      </c>
      <c r="B16" s="8">
        <f>B5/B14-B6</f>
        <v>0</v>
      </c>
      <c r="C16" s="8" t="s">
        <v>84</v>
      </c>
    </row>
    <row r="17" spans="1:4" ht="15">
      <c r="A17" s="1" t="s">
        <v>29</v>
      </c>
      <c r="B17" s="8">
        <f>(1/B18^2)*(-(B9*B7*B8+B11+B12-0.5*(B18^2))+SQRT((B9*B7*B8+B11+B12-0.5*(B18^2))^2+(2*B10)*(B18^2)))</f>
        <v>2.7320508075688776</v>
      </c>
      <c r="C17" s="9"/>
      <c r="D17">
        <v>29</v>
      </c>
    </row>
    <row r="18" spans="1:3" ht="15">
      <c r="A18" s="18" t="s">
        <v>85</v>
      </c>
      <c r="B18" s="3">
        <f>SQRT(B7^2+B8^2+2*B9*B7*B8)</f>
        <v>0.2</v>
      </c>
      <c r="C18" s="8" t="s">
        <v>86</v>
      </c>
    </row>
    <row r="19" spans="1:4" ht="12">
      <c r="A19" t="s">
        <v>87</v>
      </c>
      <c r="B19" s="8">
        <f>B6*B14*(B17/(B17-1))</f>
        <v>1577.3502691896258</v>
      </c>
      <c r="C19" s="8" t="s">
        <v>88</v>
      </c>
      <c r="D19">
        <v>33</v>
      </c>
    </row>
    <row r="20" spans="1:4" ht="12">
      <c r="A20" t="s">
        <v>14</v>
      </c>
      <c r="B20" s="8">
        <f>0.5*(B18^2)*((B5/B14)^2)*B22+(B9*B7*B8+B11+B12)*(B5/B14)*B21-B10*B15</f>
        <v>3.979039320256561E-13</v>
      </c>
      <c r="C20" s="10" t="s">
        <v>89</v>
      </c>
      <c r="D20">
        <v>27</v>
      </c>
    </row>
    <row r="21" spans="1:3" ht="12">
      <c r="A21" s="9" t="s">
        <v>128</v>
      </c>
      <c r="B21" s="8">
        <f>B23*B17*((B5/B14)^(B17-1))</f>
        <v>0.45412812346397563</v>
      </c>
      <c r="C21" s="8" t="s">
        <v>90</v>
      </c>
    </row>
    <row r="22" spans="1:3" ht="12">
      <c r="A22" s="9" t="s">
        <v>129</v>
      </c>
      <c r="B22" s="8">
        <f>B23*B17*(B17-1)*(B5/B14)^(B17-2)</f>
        <v>3.146291931942071E-05</v>
      </c>
      <c r="C22" s="8" t="s">
        <v>91</v>
      </c>
    </row>
    <row r="23" spans="1:3" ht="12">
      <c r="A23" s="9" t="s">
        <v>7</v>
      </c>
      <c r="B23" s="12">
        <f>((B19/B14)-B6)/((B19/B14)^B17)</f>
        <v>4.0108284113193994E-09</v>
      </c>
      <c r="C23" s="12" t="s">
        <v>92</v>
      </c>
    </row>
    <row r="24" spans="1:3" ht="12">
      <c r="A24" s="9" t="s">
        <v>93</v>
      </c>
      <c r="B24" s="8">
        <f>B23*(B5/B14)^B17</f>
        <v>4155.560744019269</v>
      </c>
      <c r="C24" s="8" t="s">
        <v>94</v>
      </c>
    </row>
    <row r="25" spans="1:3" ht="12">
      <c r="A25" s="9" t="s">
        <v>95</v>
      </c>
      <c r="B25" s="8">
        <f>B19/B14-B6</f>
        <v>14433.756729740642</v>
      </c>
      <c r="C25" s="8" t="s">
        <v>96</v>
      </c>
    </row>
    <row r="26" spans="1:3" ht="12">
      <c r="A26" s="9" t="s">
        <v>95</v>
      </c>
      <c r="B26" s="8">
        <f>(B6/(B17-1))*((B19/B19)^B17)</f>
        <v>14433.75672974064</v>
      </c>
      <c r="C26" s="8" t="s">
        <v>101</v>
      </c>
    </row>
    <row r="27" spans="1:3" ht="12">
      <c r="A27" s="9" t="s">
        <v>97</v>
      </c>
      <c r="B27" s="8">
        <f>(1/B14)*((B19/B19)^(B17-1))</f>
        <v>25</v>
      </c>
      <c r="C27" s="8" t="s">
        <v>102</v>
      </c>
    </row>
    <row r="28" spans="1:3" ht="12">
      <c r="A28" s="9" t="s">
        <v>97</v>
      </c>
      <c r="B28" s="8">
        <f>1/B14</f>
        <v>25</v>
      </c>
      <c r="C28" s="8" t="s">
        <v>98</v>
      </c>
    </row>
    <row r="29" spans="1:2" ht="15">
      <c r="A29" s="1" t="s">
        <v>29</v>
      </c>
      <c r="B29" s="10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23">
      <selection activeCell="G47" sqref="G47"/>
    </sheetView>
  </sheetViews>
  <sheetFormatPr defaultColWidth="9.140625" defaultRowHeight="12.75"/>
  <cols>
    <col min="1" max="1" width="9.7109375" style="0" bestFit="1" customWidth="1"/>
  </cols>
  <sheetData>
    <row r="1" spans="1:12" ht="15">
      <c r="A1" s="6" t="s">
        <v>74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2" ht="12">
      <c r="A2" t="s">
        <v>16</v>
      </c>
      <c r="B2" t="s">
        <v>75</v>
      </c>
    </row>
    <row r="3" spans="1:11" ht="12">
      <c r="A3" t="s">
        <v>2</v>
      </c>
      <c r="B3" s="3">
        <v>1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</row>
    <row r="4" spans="1:11" ht="12">
      <c r="A4" t="s">
        <v>76</v>
      </c>
      <c r="B4" s="3">
        <v>2</v>
      </c>
      <c r="C4" s="3">
        <v>2</v>
      </c>
      <c r="D4" s="3">
        <v>2</v>
      </c>
      <c r="E4" s="3">
        <v>2</v>
      </c>
      <c r="F4" s="3">
        <v>2</v>
      </c>
      <c r="G4" s="3">
        <v>2</v>
      </c>
      <c r="H4" s="3">
        <v>2</v>
      </c>
      <c r="I4" s="3">
        <v>2</v>
      </c>
      <c r="J4" s="3">
        <v>2</v>
      </c>
      <c r="K4" s="3">
        <v>2</v>
      </c>
    </row>
    <row r="5" spans="1:11" ht="12">
      <c r="A5" t="s">
        <v>77</v>
      </c>
      <c r="B5" s="3">
        <f aca="true" t="shared" si="0" ref="B5:K5">B3*B4</f>
        <v>2</v>
      </c>
      <c r="C5" s="3">
        <f t="shared" si="0"/>
        <v>2</v>
      </c>
      <c r="D5" s="3">
        <f t="shared" si="0"/>
        <v>2</v>
      </c>
      <c r="E5" s="3">
        <f t="shared" si="0"/>
        <v>2</v>
      </c>
      <c r="F5" s="3">
        <f t="shared" si="0"/>
        <v>2</v>
      </c>
      <c r="G5" s="3">
        <f t="shared" si="0"/>
        <v>2</v>
      </c>
      <c r="H5" s="3">
        <f t="shared" si="0"/>
        <v>2</v>
      </c>
      <c r="I5" s="3">
        <f t="shared" si="0"/>
        <v>2</v>
      </c>
      <c r="J5" s="3">
        <f t="shared" si="0"/>
        <v>2</v>
      </c>
      <c r="K5" s="3">
        <f t="shared" si="0"/>
        <v>2</v>
      </c>
    </row>
    <row r="6" spans="1:11" ht="12">
      <c r="A6" t="s">
        <v>19</v>
      </c>
      <c r="B6" s="3">
        <v>100</v>
      </c>
      <c r="C6" s="3">
        <v>100</v>
      </c>
      <c r="D6" s="3">
        <v>100</v>
      </c>
      <c r="E6" s="3">
        <v>100</v>
      </c>
      <c r="F6" s="3">
        <v>100</v>
      </c>
      <c r="G6" s="3">
        <v>100</v>
      </c>
      <c r="H6" s="3">
        <v>100</v>
      </c>
      <c r="I6" s="3">
        <v>100</v>
      </c>
      <c r="J6" s="3">
        <v>100</v>
      </c>
      <c r="K6" s="3">
        <v>100</v>
      </c>
    </row>
    <row r="7" spans="1:11" ht="12">
      <c r="A7" s="1" t="s">
        <v>1</v>
      </c>
      <c r="B7" s="3">
        <v>0.2</v>
      </c>
      <c r="C7" s="3">
        <v>0.2</v>
      </c>
      <c r="D7" s="3">
        <v>0.2</v>
      </c>
      <c r="E7" s="3">
        <v>0.2</v>
      </c>
      <c r="F7" s="3">
        <v>0.2</v>
      </c>
      <c r="G7" s="3">
        <v>0.2</v>
      </c>
      <c r="H7" s="3">
        <v>0.2</v>
      </c>
      <c r="I7" s="3">
        <v>0.2</v>
      </c>
      <c r="J7" s="3">
        <v>0.2</v>
      </c>
      <c r="K7" s="3">
        <v>0.2</v>
      </c>
    </row>
    <row r="8" spans="1:11" ht="12">
      <c r="A8" s="1" t="s">
        <v>5</v>
      </c>
      <c r="B8" s="3">
        <v>0.2</v>
      </c>
      <c r="C8" s="3">
        <v>0.2</v>
      </c>
      <c r="D8" s="3">
        <v>0.2</v>
      </c>
      <c r="E8" s="3">
        <v>0.2</v>
      </c>
      <c r="F8" s="3">
        <v>0.2</v>
      </c>
      <c r="G8" s="3">
        <v>0.2</v>
      </c>
      <c r="H8" s="3">
        <v>0.2</v>
      </c>
      <c r="I8" s="3">
        <v>0.2</v>
      </c>
      <c r="J8" s="3">
        <v>0.2</v>
      </c>
      <c r="K8" s="3">
        <v>0.2</v>
      </c>
    </row>
    <row r="9" spans="1:11" ht="12.75">
      <c r="A9" s="19" t="s">
        <v>0</v>
      </c>
      <c r="B9" s="20">
        <v>-0.8</v>
      </c>
      <c r="C9" s="20">
        <f>B9+0.1</f>
        <v>-0.7000000000000001</v>
      </c>
      <c r="D9" s="20">
        <f aca="true" t="shared" si="1" ref="D9:K9">C9+0.1</f>
        <v>-0.6000000000000001</v>
      </c>
      <c r="E9" s="20">
        <f t="shared" si="1"/>
        <v>-0.5000000000000001</v>
      </c>
      <c r="F9" s="20">
        <f t="shared" si="1"/>
        <v>-0.40000000000000013</v>
      </c>
      <c r="G9" s="20">
        <f t="shared" si="1"/>
        <v>-0.30000000000000016</v>
      </c>
      <c r="H9" s="20">
        <f t="shared" si="1"/>
        <v>-0.20000000000000015</v>
      </c>
      <c r="I9" s="20">
        <f t="shared" si="1"/>
        <v>-0.10000000000000014</v>
      </c>
      <c r="J9" s="20">
        <f t="shared" si="1"/>
        <v>-1.3877787807814457E-16</v>
      </c>
      <c r="K9" s="20">
        <f t="shared" si="1"/>
        <v>0.09999999999999987</v>
      </c>
    </row>
    <row r="10" spans="1:11" ht="12">
      <c r="A10" s="5" t="s">
        <v>0</v>
      </c>
      <c r="B10" s="3">
        <v>0.04</v>
      </c>
      <c r="C10" s="3">
        <v>0.04</v>
      </c>
      <c r="D10" s="3">
        <v>0.04</v>
      </c>
      <c r="E10" s="3">
        <v>0.04</v>
      </c>
      <c r="F10" s="3">
        <v>0.04</v>
      </c>
      <c r="G10" s="3">
        <v>0.04</v>
      </c>
      <c r="H10" s="3">
        <v>0.04</v>
      </c>
      <c r="I10" s="3">
        <v>0.04</v>
      </c>
      <c r="J10" s="3">
        <v>0.04</v>
      </c>
      <c r="K10" s="3">
        <v>0.04</v>
      </c>
    </row>
    <row r="11" spans="1:11" ht="12">
      <c r="A11" s="1" t="s">
        <v>78</v>
      </c>
      <c r="B11" s="3">
        <f>$B$41</f>
        <v>-0.02</v>
      </c>
      <c r="C11" s="3">
        <f>B11</f>
        <v>-0.02</v>
      </c>
      <c r="D11" s="3">
        <f aca="true" t="shared" si="2" ref="D11:K11">C11</f>
        <v>-0.02</v>
      </c>
      <c r="E11" s="3">
        <f t="shared" si="2"/>
        <v>-0.02</v>
      </c>
      <c r="F11" s="3">
        <f t="shared" si="2"/>
        <v>-0.02</v>
      </c>
      <c r="G11" s="3">
        <f t="shared" si="2"/>
        <v>-0.02</v>
      </c>
      <c r="H11" s="3">
        <f t="shared" si="2"/>
        <v>-0.02</v>
      </c>
      <c r="I11" s="3">
        <f t="shared" si="2"/>
        <v>-0.02</v>
      </c>
      <c r="J11" s="3">
        <f t="shared" si="2"/>
        <v>-0.02</v>
      </c>
      <c r="K11" s="3">
        <f t="shared" si="2"/>
        <v>-0.02</v>
      </c>
    </row>
    <row r="12" spans="1:11" ht="12">
      <c r="A12" s="1" t="s">
        <v>8</v>
      </c>
      <c r="B12" s="3">
        <v>0.01</v>
      </c>
      <c r="C12" s="3">
        <v>0.01</v>
      </c>
      <c r="D12" s="3">
        <v>0.01</v>
      </c>
      <c r="E12" s="3">
        <v>0.01</v>
      </c>
      <c r="F12" s="3">
        <v>0.01</v>
      </c>
      <c r="G12" s="3">
        <v>0.01</v>
      </c>
      <c r="H12" s="3">
        <v>0.01</v>
      </c>
      <c r="I12" s="3">
        <v>0.01</v>
      </c>
      <c r="J12" s="3">
        <v>0.01</v>
      </c>
      <c r="K12" s="3">
        <v>0.01</v>
      </c>
    </row>
    <row r="13" spans="1:11" ht="12">
      <c r="A13" s="5" t="s">
        <v>17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2" ht="12">
      <c r="A14" s="1" t="s">
        <v>79</v>
      </c>
      <c r="B14" s="3">
        <f aca="true" t="shared" si="3" ref="B14:K14">B10-B11-B12</f>
        <v>0.049999999999999996</v>
      </c>
      <c r="C14" s="3">
        <f t="shared" si="3"/>
        <v>0.049999999999999996</v>
      </c>
      <c r="D14" s="3">
        <f t="shared" si="3"/>
        <v>0.049999999999999996</v>
      </c>
      <c r="E14" s="3">
        <f t="shared" si="3"/>
        <v>0.049999999999999996</v>
      </c>
      <c r="F14" s="3">
        <f t="shared" si="3"/>
        <v>0.049999999999999996</v>
      </c>
      <c r="G14" s="3">
        <f t="shared" si="3"/>
        <v>0.049999999999999996</v>
      </c>
      <c r="H14" s="3">
        <f t="shared" si="3"/>
        <v>0.049999999999999996</v>
      </c>
      <c r="I14" s="3">
        <f t="shared" si="3"/>
        <v>0.049999999999999996</v>
      </c>
      <c r="J14" s="3">
        <f t="shared" si="3"/>
        <v>0.049999999999999996</v>
      </c>
      <c r="K14" s="3">
        <f t="shared" si="3"/>
        <v>0.049999999999999996</v>
      </c>
      <c r="L14" s="8" t="s">
        <v>80</v>
      </c>
    </row>
    <row r="15" spans="1:12" ht="12">
      <c r="A15" s="9" t="s">
        <v>106</v>
      </c>
      <c r="B15" s="8">
        <f aca="true" t="shared" si="4" ref="B15:K15">IF(B5&lt;B19,(B6/(B17-1))*((B5/B19)^B17),B16)</f>
        <v>0.009609613002247261</v>
      </c>
      <c r="C15" s="8">
        <f t="shared" si="4"/>
        <v>0.09918426674852776</v>
      </c>
      <c r="D15" s="8">
        <f t="shared" si="4"/>
        <v>0.35029089720460527</v>
      </c>
      <c r="E15" s="8">
        <f t="shared" si="4"/>
        <v>0.7918254656446158</v>
      </c>
      <c r="F15" s="8">
        <f t="shared" si="4"/>
        <v>1.4201757908420252</v>
      </c>
      <c r="G15" s="8">
        <f t="shared" si="4"/>
        <v>2.2215968748126236</v>
      </c>
      <c r="H15" s="8">
        <f t="shared" si="4"/>
        <v>3.182052055528071</v>
      </c>
      <c r="I15" s="8">
        <f t="shared" si="4"/>
        <v>4.2905443255072475</v>
      </c>
      <c r="J15" s="8">
        <f t="shared" si="4"/>
        <v>5.539951045255032</v>
      </c>
      <c r="K15" s="8">
        <f t="shared" si="4"/>
        <v>6.927064558011196</v>
      </c>
      <c r="L15" s="8" t="s">
        <v>82</v>
      </c>
    </row>
    <row r="16" spans="1:12" ht="12">
      <c r="A16" s="5" t="s">
        <v>83</v>
      </c>
      <c r="B16" s="8">
        <f aca="true" t="shared" si="5" ref="B16:K16">B5/B14-B6</f>
        <v>-60</v>
      </c>
      <c r="C16" s="8">
        <f t="shared" si="5"/>
        <v>-60</v>
      </c>
      <c r="D16" s="8">
        <f t="shared" si="5"/>
        <v>-60</v>
      </c>
      <c r="E16" s="8">
        <f t="shared" si="5"/>
        <v>-60</v>
      </c>
      <c r="F16" s="8">
        <f t="shared" si="5"/>
        <v>-60</v>
      </c>
      <c r="G16" s="8">
        <f t="shared" si="5"/>
        <v>-60</v>
      </c>
      <c r="H16" s="8">
        <f t="shared" si="5"/>
        <v>-60</v>
      </c>
      <c r="I16" s="8">
        <f t="shared" si="5"/>
        <v>-60</v>
      </c>
      <c r="J16" s="8">
        <f t="shared" si="5"/>
        <v>-60</v>
      </c>
      <c r="K16" s="8">
        <f t="shared" si="5"/>
        <v>-60</v>
      </c>
      <c r="L16" s="8" t="s">
        <v>84</v>
      </c>
    </row>
    <row r="17" spans="1:12" ht="15">
      <c r="A17" s="1" t="s">
        <v>29</v>
      </c>
      <c r="B17" s="3">
        <f aca="true" t="shared" si="6" ref="B17:K17">(1/B18^2)*(-(B9*B7*B8+B11+B12-0.5*(B18^2))+SQRT((B9*B7*B8+B11+B12-0.5*(B18^2))^2+(2*B10)*(B18^2)))</f>
        <v>6.967606537234851</v>
      </c>
      <c r="C17" s="3">
        <f t="shared" si="6"/>
        <v>4.853461689765776</v>
      </c>
      <c r="D17" s="3">
        <f t="shared" si="6"/>
        <v>3.785427405472343</v>
      </c>
      <c r="E17" s="3">
        <f t="shared" si="6"/>
        <v>3.1374586088176875</v>
      </c>
      <c r="F17" s="3">
        <f t="shared" si="6"/>
        <v>2.700502436449532</v>
      </c>
      <c r="G17" s="3">
        <f t="shared" si="6"/>
        <v>2.384757041014673</v>
      </c>
      <c r="H17" s="3">
        <f t="shared" si="6"/>
        <v>2.1451970526746997</v>
      </c>
      <c r="I17" s="3">
        <f t="shared" si="6"/>
        <v>1.9567297519446403</v>
      </c>
      <c r="J17" s="3">
        <f t="shared" si="6"/>
        <v>1.8042476415070756</v>
      </c>
      <c r="K17" s="3">
        <f t="shared" si="6"/>
        <v>1.6781014042795255</v>
      </c>
      <c r="L17" s="9"/>
    </row>
    <row r="18" spans="1:12" ht="15">
      <c r="A18" s="18" t="s">
        <v>85</v>
      </c>
      <c r="B18" s="3">
        <f aca="true" t="shared" si="7" ref="B18:K18">SQRT(B7^2+B8^2+2*B9*B7*B8)</f>
        <v>0.12649110640673517</v>
      </c>
      <c r="C18" s="3">
        <f t="shared" si="7"/>
        <v>0.1549193338482967</v>
      </c>
      <c r="D18" s="3">
        <f t="shared" si="7"/>
        <v>0.17888543819998318</v>
      </c>
      <c r="E18" s="3">
        <f t="shared" si="7"/>
        <v>0.2</v>
      </c>
      <c r="F18" s="3">
        <f t="shared" si="7"/>
        <v>0.21908902300206645</v>
      </c>
      <c r="G18" s="3">
        <f t="shared" si="7"/>
        <v>0.23664319132398465</v>
      </c>
      <c r="H18" s="3">
        <f t="shared" si="7"/>
        <v>0.25298221281347033</v>
      </c>
      <c r="I18" s="3">
        <f t="shared" si="7"/>
        <v>0.2683281572999748</v>
      </c>
      <c r="J18" s="3">
        <f t="shared" si="7"/>
        <v>0.282842712474619</v>
      </c>
      <c r="K18" s="3">
        <f t="shared" si="7"/>
        <v>0.2966479394838265</v>
      </c>
      <c r="L18" s="8" t="s">
        <v>86</v>
      </c>
    </row>
    <row r="19" spans="1:12" ht="12">
      <c r="A19" t="s">
        <v>87</v>
      </c>
      <c r="B19" s="8">
        <f aca="true" t="shared" si="8" ref="B19:K19">B6*B14*(B17/(B17-1))</f>
        <v>5.837856847431634</v>
      </c>
      <c r="C19" s="8">
        <f t="shared" si="8"/>
        <v>6.2975346331531625</v>
      </c>
      <c r="D19" s="8">
        <f t="shared" si="8"/>
        <v>6.795056654564694</v>
      </c>
      <c r="E19" s="8">
        <f t="shared" si="8"/>
        <v>7.339226584025268</v>
      </c>
      <c r="F19" s="8">
        <f t="shared" si="8"/>
        <v>7.94030746021127</v>
      </c>
      <c r="G19" s="8">
        <f t="shared" si="8"/>
        <v>8.610741705517004</v>
      </c>
      <c r="H19" s="8">
        <f t="shared" si="8"/>
        <v>9.366060834964689</v>
      </c>
      <c r="I19" s="8">
        <f t="shared" si="8"/>
        <v>10.226136210185839</v>
      </c>
      <c r="J19" s="8">
        <f t="shared" si="8"/>
        <v>11.2169905660283</v>
      </c>
      <c r="K19" s="8">
        <f t="shared" si="8"/>
        <v>12.373528455249904</v>
      </c>
      <c r="L19" s="8" t="s">
        <v>88</v>
      </c>
    </row>
    <row r="20" spans="1:12" ht="12">
      <c r="A20" t="s">
        <v>14</v>
      </c>
      <c r="B20" s="8">
        <f aca="true" t="shared" si="9" ref="B20:K20">0.5*(B18^2)*((B5/B14)^2)*B22+(B9*B7*B8+B11+B12)*(B5/B14)*B21-B10*B15</f>
        <v>-5.4752209710517974E-18</v>
      </c>
      <c r="C20" s="8">
        <f t="shared" si="9"/>
        <v>-2.7755575615628914E-17</v>
      </c>
      <c r="D20" s="8">
        <f t="shared" si="9"/>
        <v>3.8163916471489756E-17</v>
      </c>
      <c r="E20" s="8">
        <f t="shared" si="9"/>
        <v>0</v>
      </c>
      <c r="F20" s="8">
        <f t="shared" si="9"/>
        <v>0</v>
      </c>
      <c r="G20" s="8">
        <f t="shared" si="9"/>
        <v>0</v>
      </c>
      <c r="H20" s="8">
        <f t="shared" si="9"/>
        <v>0</v>
      </c>
      <c r="I20" s="8">
        <f t="shared" si="9"/>
        <v>0</v>
      </c>
      <c r="J20" s="8">
        <f t="shared" si="9"/>
        <v>-2.498001805406602E-16</v>
      </c>
      <c r="K20" s="8">
        <f t="shared" si="9"/>
        <v>0</v>
      </c>
      <c r="L20" s="10" t="s">
        <v>89</v>
      </c>
    </row>
    <row r="21" spans="1:12" ht="12">
      <c r="A21" t="s">
        <v>18</v>
      </c>
      <c r="B21" s="8">
        <f aca="true" t="shared" si="10" ref="B21:K21">B23*B17*((B5/B14)^(B17-1))</f>
        <v>0.00167390005936887</v>
      </c>
      <c r="C21" s="8">
        <f t="shared" si="10"/>
        <v>0.012034675972287223</v>
      </c>
      <c r="D21" s="8">
        <f t="shared" si="10"/>
        <v>0.033150019054145205</v>
      </c>
      <c r="E21" s="8">
        <f t="shared" si="10"/>
        <v>0.06210799059669429</v>
      </c>
      <c r="F21" s="8">
        <f t="shared" si="10"/>
        <v>0.09587970458388824</v>
      </c>
      <c r="G21" s="8">
        <f t="shared" si="10"/>
        <v>0.13244921973763985</v>
      </c>
      <c r="H21" s="8">
        <f t="shared" si="10"/>
        <v>0.17065321727440702</v>
      </c>
      <c r="I21" s="8">
        <f t="shared" si="10"/>
        <v>0.20988589334393185</v>
      </c>
      <c r="J21" s="8">
        <f t="shared" si="10"/>
        <v>0.24988609018665092</v>
      </c>
      <c r="K21" s="8">
        <f t="shared" si="10"/>
        <v>0.29060791905833816</v>
      </c>
      <c r="L21" s="8" t="s">
        <v>90</v>
      </c>
    </row>
    <row r="22" spans="1:12" ht="12">
      <c r="A22" t="s">
        <v>15</v>
      </c>
      <c r="B22" s="8">
        <f aca="true" t="shared" si="11" ref="B22:K22">B23*B17*(B17-1)*(B5/B14)^(B17-2)</f>
        <v>0.0002497294234241865</v>
      </c>
      <c r="C22" s="8">
        <f t="shared" si="11"/>
        <v>0.0011593790701988362</v>
      </c>
      <c r="D22" s="8">
        <f t="shared" si="11"/>
        <v>0.002308424289133662</v>
      </c>
      <c r="E22" s="8">
        <f t="shared" si="11"/>
        <v>0.0033188314794318037</v>
      </c>
      <c r="F22" s="8">
        <f t="shared" si="11"/>
        <v>0.004076091781274083</v>
      </c>
      <c r="G22" s="8">
        <f t="shared" si="11"/>
        <v>0.0045852497402149115</v>
      </c>
      <c r="H22" s="8">
        <f t="shared" si="11"/>
        <v>0.004885789036302654</v>
      </c>
      <c r="I22" s="8">
        <f t="shared" si="11"/>
        <v>0.005020101966890478</v>
      </c>
      <c r="J22" s="8">
        <f t="shared" si="11"/>
        <v>0.00502425746695096</v>
      </c>
      <c r="K22" s="8">
        <f t="shared" si="11"/>
        <v>0.0049265409502052444</v>
      </c>
      <c r="L22" s="8" t="s">
        <v>91</v>
      </c>
    </row>
    <row r="23" spans="1:12" ht="12">
      <c r="A23" s="9" t="s">
        <v>7</v>
      </c>
      <c r="B23" s="12">
        <f aca="true" t="shared" si="12" ref="B23:K23">((B19/B14)-B6)/((B19/B14)^B17)</f>
        <v>6.609707324728637E-14</v>
      </c>
      <c r="C23" s="12">
        <f t="shared" si="12"/>
        <v>1.6630526338422935E-09</v>
      </c>
      <c r="D23" s="12">
        <f t="shared" si="12"/>
        <v>3.0195835817502984E-07</v>
      </c>
      <c r="E23" s="12">
        <f t="shared" si="12"/>
        <v>7.451308649748755E-06</v>
      </c>
      <c r="F23" s="12">
        <f t="shared" si="12"/>
        <v>6.698463499642549E-05</v>
      </c>
      <c r="G23" s="12">
        <f t="shared" si="12"/>
        <v>0.00033584695213480725</v>
      </c>
      <c r="H23" s="12">
        <f t="shared" si="12"/>
        <v>0.0011640534127520035</v>
      </c>
      <c r="I23" s="12">
        <f t="shared" si="12"/>
        <v>0.0031456756717879015</v>
      </c>
      <c r="J23" s="12">
        <f t="shared" si="12"/>
        <v>0.007128414847759362</v>
      </c>
      <c r="K23" s="12">
        <f t="shared" si="12"/>
        <v>0.014194827328139138</v>
      </c>
      <c r="L23" s="12" t="s">
        <v>92</v>
      </c>
    </row>
    <row r="24" spans="1:11" ht="12">
      <c r="A24" t="str">
        <f>A15</f>
        <v>ROV (P,Q)</v>
      </c>
      <c r="B24" s="3">
        <f aca="true" t="shared" si="13" ref="B24:K24">B15</f>
        <v>0.009609613002247261</v>
      </c>
      <c r="C24" s="3">
        <f t="shared" si="13"/>
        <v>0.09918426674852776</v>
      </c>
      <c r="D24" s="3">
        <f t="shared" si="13"/>
        <v>0.35029089720460527</v>
      </c>
      <c r="E24" s="3">
        <f t="shared" si="13"/>
        <v>0.7918254656446158</v>
      </c>
      <c r="F24" s="3">
        <f t="shared" si="13"/>
        <v>1.4201757908420252</v>
      </c>
      <c r="G24" s="3">
        <f t="shared" si="13"/>
        <v>2.2215968748126236</v>
      </c>
      <c r="H24" s="3">
        <f t="shared" si="13"/>
        <v>3.182052055528071</v>
      </c>
      <c r="I24" s="3">
        <f t="shared" si="13"/>
        <v>4.2905443255072475</v>
      </c>
      <c r="J24" s="3">
        <f t="shared" si="13"/>
        <v>5.539951045255032</v>
      </c>
      <c r="K24" s="3">
        <f t="shared" si="13"/>
        <v>6.927064558011196</v>
      </c>
    </row>
    <row r="25" spans="1:11" ht="12">
      <c r="A25" t="str">
        <f>A19</f>
        <v>X*</v>
      </c>
      <c r="B25" s="3">
        <f aca="true" t="shared" si="14" ref="B25:K25">B19</f>
        <v>5.837856847431634</v>
      </c>
      <c r="C25" s="3">
        <f t="shared" si="14"/>
        <v>6.2975346331531625</v>
      </c>
      <c r="D25" s="3">
        <f t="shared" si="14"/>
        <v>6.795056654564694</v>
      </c>
      <c r="E25" s="3">
        <f t="shared" si="14"/>
        <v>7.339226584025268</v>
      </c>
      <c r="F25" s="3">
        <f t="shared" si="14"/>
        <v>7.94030746021127</v>
      </c>
      <c r="G25" s="3">
        <f t="shared" si="14"/>
        <v>8.610741705517004</v>
      </c>
      <c r="H25" s="3">
        <f t="shared" si="14"/>
        <v>9.366060834964689</v>
      </c>
      <c r="I25" s="3">
        <f t="shared" si="14"/>
        <v>10.226136210185839</v>
      </c>
      <c r="J25" s="3">
        <f t="shared" si="14"/>
        <v>11.2169905660283</v>
      </c>
      <c r="K25" s="3">
        <f t="shared" si="14"/>
        <v>12.373528455249904</v>
      </c>
    </row>
    <row r="41" spans="1:2" ht="12">
      <c r="A41" s="1" t="s">
        <v>78</v>
      </c>
      <c r="B41" s="3">
        <v>-0.02</v>
      </c>
    </row>
  </sheetData>
  <sheetProtection/>
  <printOptions horizontalCentered="1"/>
  <pageMargins left="0.7" right="0.7" top="0.75" bottom="0.75" header="0.3" footer="0.3"/>
  <pageSetup orientation="portrait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PageLayoutView="0" workbookViewId="0" topLeftCell="A31">
      <selection activeCell="A24" sqref="A24:K48"/>
    </sheetView>
  </sheetViews>
  <sheetFormatPr defaultColWidth="9.140625" defaultRowHeight="12.75"/>
  <cols>
    <col min="1" max="1" width="9.7109375" style="0" bestFit="1" customWidth="1"/>
  </cols>
  <sheetData>
    <row r="1" spans="1:11" ht="15">
      <c r="A1" s="6" t="s">
        <v>74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2" ht="12">
      <c r="A2" t="s">
        <v>16</v>
      </c>
      <c r="B2" t="s">
        <v>75</v>
      </c>
    </row>
    <row r="3" spans="1:11" ht="12">
      <c r="A3" t="s">
        <v>2</v>
      </c>
      <c r="B3" s="3">
        <v>1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</row>
    <row r="4" spans="1:11" ht="12">
      <c r="A4" t="s">
        <v>76</v>
      </c>
      <c r="B4" s="3">
        <v>2</v>
      </c>
      <c r="C4" s="3">
        <v>2</v>
      </c>
      <c r="D4" s="3">
        <v>2</v>
      </c>
      <c r="E4" s="3">
        <v>2</v>
      </c>
      <c r="F4" s="3">
        <v>2</v>
      </c>
      <c r="G4" s="3">
        <v>2</v>
      </c>
      <c r="H4" s="3">
        <v>2</v>
      </c>
      <c r="I4" s="3">
        <v>2</v>
      </c>
      <c r="J4" s="3">
        <v>2</v>
      </c>
      <c r="K4" s="3">
        <v>2</v>
      </c>
    </row>
    <row r="5" spans="1:11" ht="12">
      <c r="A5" t="s">
        <v>77</v>
      </c>
      <c r="B5" s="3">
        <f aca="true" t="shared" si="0" ref="B5:K5">B3*B4</f>
        <v>2</v>
      </c>
      <c r="C5" s="3">
        <f t="shared" si="0"/>
        <v>2</v>
      </c>
      <c r="D5" s="3">
        <f t="shared" si="0"/>
        <v>2</v>
      </c>
      <c r="E5" s="3">
        <f t="shared" si="0"/>
        <v>2</v>
      </c>
      <c r="F5" s="3">
        <f t="shared" si="0"/>
        <v>2</v>
      </c>
      <c r="G5" s="3">
        <f t="shared" si="0"/>
        <v>2</v>
      </c>
      <c r="H5" s="3">
        <f t="shared" si="0"/>
        <v>2</v>
      </c>
      <c r="I5" s="3">
        <f t="shared" si="0"/>
        <v>2</v>
      </c>
      <c r="J5" s="3">
        <f t="shared" si="0"/>
        <v>2</v>
      </c>
      <c r="K5" s="3">
        <f t="shared" si="0"/>
        <v>2</v>
      </c>
    </row>
    <row r="6" spans="1:11" ht="12">
      <c r="A6" t="s">
        <v>19</v>
      </c>
      <c r="B6" s="3">
        <v>100</v>
      </c>
      <c r="C6" s="3">
        <v>100</v>
      </c>
      <c r="D6" s="3">
        <v>100</v>
      </c>
      <c r="E6" s="3">
        <v>100</v>
      </c>
      <c r="F6" s="3">
        <v>100</v>
      </c>
      <c r="G6" s="3">
        <v>100</v>
      </c>
      <c r="H6" s="3">
        <v>100</v>
      </c>
      <c r="I6" s="3">
        <v>100</v>
      </c>
      <c r="J6" s="3">
        <v>100</v>
      </c>
      <c r="K6" s="3">
        <v>100</v>
      </c>
    </row>
    <row r="7" spans="1:11" ht="12.75">
      <c r="A7" s="19" t="s">
        <v>1</v>
      </c>
      <c r="B7" s="20">
        <v>0.05</v>
      </c>
      <c r="C7" s="20">
        <f>B7+0.05</f>
        <v>0.1</v>
      </c>
      <c r="D7" s="20">
        <f aca="true" t="shared" si="1" ref="D7:K7">C7+0.05</f>
        <v>0.15000000000000002</v>
      </c>
      <c r="E7" s="20">
        <f t="shared" si="1"/>
        <v>0.2</v>
      </c>
      <c r="F7" s="20">
        <f t="shared" si="1"/>
        <v>0.25</v>
      </c>
      <c r="G7" s="20">
        <f t="shared" si="1"/>
        <v>0.3</v>
      </c>
      <c r="H7" s="20">
        <f t="shared" si="1"/>
        <v>0.35</v>
      </c>
      <c r="I7" s="20">
        <f t="shared" si="1"/>
        <v>0.39999999999999997</v>
      </c>
      <c r="J7" s="20">
        <f t="shared" si="1"/>
        <v>0.44999999999999996</v>
      </c>
      <c r="K7" s="20">
        <f t="shared" si="1"/>
        <v>0.49999999999999994</v>
      </c>
    </row>
    <row r="8" spans="1:11" ht="12">
      <c r="A8" s="1" t="s">
        <v>5</v>
      </c>
      <c r="B8" s="3">
        <v>0.2</v>
      </c>
      <c r="C8" s="3">
        <v>0.2</v>
      </c>
      <c r="D8" s="3">
        <v>0.2</v>
      </c>
      <c r="E8" s="3">
        <v>0.2</v>
      </c>
      <c r="F8" s="3">
        <v>0.2</v>
      </c>
      <c r="G8" s="3">
        <v>0.2</v>
      </c>
      <c r="H8" s="3">
        <v>0.2</v>
      </c>
      <c r="I8" s="3">
        <v>0.2</v>
      </c>
      <c r="J8" s="3">
        <v>0.2</v>
      </c>
      <c r="K8" s="3">
        <v>0.2</v>
      </c>
    </row>
    <row r="9" spans="1:11" ht="12">
      <c r="A9" s="1" t="s">
        <v>0</v>
      </c>
      <c r="B9" s="8">
        <v>-0.5</v>
      </c>
      <c r="C9" s="8">
        <f>B9</f>
        <v>-0.5</v>
      </c>
      <c r="D9" s="8">
        <f aca="true" t="shared" si="2" ref="D9:K9">C9</f>
        <v>-0.5</v>
      </c>
      <c r="E9" s="8">
        <f t="shared" si="2"/>
        <v>-0.5</v>
      </c>
      <c r="F9" s="8">
        <f t="shared" si="2"/>
        <v>-0.5</v>
      </c>
      <c r="G9" s="8">
        <f t="shared" si="2"/>
        <v>-0.5</v>
      </c>
      <c r="H9" s="8">
        <f t="shared" si="2"/>
        <v>-0.5</v>
      </c>
      <c r="I9" s="8">
        <f t="shared" si="2"/>
        <v>-0.5</v>
      </c>
      <c r="J9" s="8">
        <f t="shared" si="2"/>
        <v>-0.5</v>
      </c>
      <c r="K9" s="8">
        <f t="shared" si="2"/>
        <v>-0.5</v>
      </c>
    </row>
    <row r="10" spans="1:11" ht="12">
      <c r="A10" s="5" t="s">
        <v>0</v>
      </c>
      <c r="B10" s="3">
        <v>0.04</v>
      </c>
      <c r="C10" s="3">
        <v>0.04</v>
      </c>
      <c r="D10" s="3">
        <v>0.04</v>
      </c>
      <c r="E10" s="3">
        <v>0.04</v>
      </c>
      <c r="F10" s="3">
        <v>0.04</v>
      </c>
      <c r="G10" s="3">
        <v>0.04</v>
      </c>
      <c r="H10" s="3">
        <v>0.04</v>
      </c>
      <c r="I10" s="3">
        <v>0.04</v>
      </c>
      <c r="J10" s="3">
        <v>0.04</v>
      </c>
      <c r="K10" s="3">
        <v>0.04</v>
      </c>
    </row>
    <row r="11" spans="1:11" ht="12">
      <c r="A11" s="1" t="s">
        <v>78</v>
      </c>
      <c r="B11" s="3">
        <f>$B$49</f>
        <v>0</v>
      </c>
      <c r="C11" s="3">
        <f>B11</f>
        <v>0</v>
      </c>
      <c r="D11" s="3">
        <f aca="true" t="shared" si="3" ref="D11:K11">C11</f>
        <v>0</v>
      </c>
      <c r="E11" s="3">
        <f t="shared" si="3"/>
        <v>0</v>
      </c>
      <c r="F11" s="3">
        <f t="shared" si="3"/>
        <v>0</v>
      </c>
      <c r="G11" s="3">
        <f t="shared" si="3"/>
        <v>0</v>
      </c>
      <c r="H11" s="3">
        <f t="shared" si="3"/>
        <v>0</v>
      </c>
      <c r="I11" s="3">
        <f t="shared" si="3"/>
        <v>0</v>
      </c>
      <c r="J11" s="3">
        <f t="shared" si="3"/>
        <v>0</v>
      </c>
      <c r="K11" s="3">
        <f t="shared" si="3"/>
        <v>0</v>
      </c>
    </row>
    <row r="12" spans="1:11" ht="12">
      <c r="A12" s="1" t="s">
        <v>8</v>
      </c>
      <c r="B12" s="3">
        <v>0.01</v>
      </c>
      <c r="C12" s="3">
        <v>0.01</v>
      </c>
      <c r="D12" s="3">
        <v>0.01</v>
      </c>
      <c r="E12" s="3">
        <v>0.01</v>
      </c>
      <c r="F12" s="3">
        <v>0.01</v>
      </c>
      <c r="G12" s="3">
        <v>0.01</v>
      </c>
      <c r="H12" s="3">
        <v>0.01</v>
      </c>
      <c r="I12" s="3">
        <v>0.01</v>
      </c>
      <c r="J12" s="3">
        <v>0.01</v>
      </c>
      <c r="K12" s="3">
        <v>0.01</v>
      </c>
    </row>
    <row r="13" spans="1:11" ht="12">
      <c r="A13" s="5" t="s">
        <v>17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">
      <c r="A14" s="1" t="s">
        <v>79</v>
      </c>
      <c r="B14" s="3">
        <f aca="true" t="shared" si="4" ref="B14:K14">B10-B11-B12</f>
        <v>0.03</v>
      </c>
      <c r="C14" s="3">
        <f t="shared" si="4"/>
        <v>0.03</v>
      </c>
      <c r="D14" s="3">
        <f t="shared" si="4"/>
        <v>0.03</v>
      </c>
      <c r="E14" s="3">
        <f t="shared" si="4"/>
        <v>0.03</v>
      </c>
      <c r="F14" s="3">
        <f t="shared" si="4"/>
        <v>0.03</v>
      </c>
      <c r="G14" s="3">
        <f t="shared" si="4"/>
        <v>0.03</v>
      </c>
      <c r="H14" s="3">
        <f t="shared" si="4"/>
        <v>0.03</v>
      </c>
      <c r="I14" s="3">
        <f t="shared" si="4"/>
        <v>0.03</v>
      </c>
      <c r="J14" s="3">
        <f t="shared" si="4"/>
        <v>0.03</v>
      </c>
      <c r="K14" s="3">
        <f t="shared" si="4"/>
        <v>0.03</v>
      </c>
    </row>
    <row r="15" spans="1:11" ht="12">
      <c r="A15" s="9" t="s">
        <v>106</v>
      </c>
      <c r="B15" s="8">
        <f aca="true" t="shared" si="5" ref="B15:K15">IF(B5&lt;B19,(B6/(B17-1))*((B5/B19)^B17),B16)</f>
        <v>11.708949117631198</v>
      </c>
      <c r="C15" s="8">
        <f t="shared" si="5"/>
        <v>8.930052514082204</v>
      </c>
      <c r="D15" s="8">
        <f t="shared" si="5"/>
        <v>7.738208448064303</v>
      </c>
      <c r="E15" s="8">
        <f t="shared" si="5"/>
        <v>7.758917404927684</v>
      </c>
      <c r="F15" s="8">
        <f t="shared" si="5"/>
        <v>8.569591643507326</v>
      </c>
      <c r="G15" s="8">
        <f t="shared" si="5"/>
        <v>9.84939805645012</v>
      </c>
      <c r="H15" s="8">
        <f t="shared" si="5"/>
        <v>11.386574560313393</v>
      </c>
      <c r="I15" s="8">
        <f t="shared" si="5"/>
        <v>13.04730530129089</v>
      </c>
      <c r="J15" s="8">
        <f t="shared" si="5"/>
        <v>14.74847221627978</v>
      </c>
      <c r="K15" s="8">
        <f t="shared" si="5"/>
        <v>16.439173396978056</v>
      </c>
    </row>
    <row r="16" spans="1:11" ht="12">
      <c r="A16" s="5" t="s">
        <v>83</v>
      </c>
      <c r="B16" s="8">
        <f aca="true" t="shared" si="6" ref="B16:K16">B5/B14-B6</f>
        <v>-33.33333333333333</v>
      </c>
      <c r="C16" s="8">
        <f t="shared" si="6"/>
        <v>-33.33333333333333</v>
      </c>
      <c r="D16" s="8">
        <f t="shared" si="6"/>
        <v>-33.33333333333333</v>
      </c>
      <c r="E16" s="8">
        <f t="shared" si="6"/>
        <v>-33.33333333333333</v>
      </c>
      <c r="F16" s="8">
        <f t="shared" si="6"/>
        <v>-33.33333333333333</v>
      </c>
      <c r="G16" s="8">
        <f t="shared" si="6"/>
        <v>-33.33333333333333</v>
      </c>
      <c r="H16" s="8">
        <f t="shared" si="6"/>
        <v>-33.33333333333333</v>
      </c>
      <c r="I16" s="8">
        <f t="shared" si="6"/>
        <v>-33.33333333333333</v>
      </c>
      <c r="J16" s="8">
        <f t="shared" si="6"/>
        <v>-33.33333333333333</v>
      </c>
      <c r="K16" s="8">
        <f t="shared" si="6"/>
        <v>-33.33333333333333</v>
      </c>
    </row>
    <row r="17" spans="1:11" ht="15">
      <c r="A17" s="1" t="s">
        <v>29</v>
      </c>
      <c r="B17" s="3">
        <f aca="true" t="shared" si="7" ref="B17:K17">(1/B18^2)*(-(B9*B7*B8+B11+B12-0.5*(B18^2))+SQRT((B9*B7*B8+B11+B12-0.5*(B18^2))^2+(2*B10)*(B18^2)))</f>
        <v>1.9528152749388785</v>
      </c>
      <c r="C17" s="3">
        <f t="shared" si="7"/>
        <v>2.207825127659933</v>
      </c>
      <c r="D17" s="3">
        <f t="shared" si="7"/>
        <v>2.353567676460335</v>
      </c>
      <c r="E17" s="3">
        <f t="shared" si="7"/>
        <v>2.350781059358212</v>
      </c>
      <c r="F17" s="3">
        <f t="shared" si="7"/>
        <v>2.2489833869342335</v>
      </c>
      <c r="G17" s="3">
        <f t="shared" si="7"/>
        <v>2.1124411157861935</v>
      </c>
      <c r="H17" s="3">
        <f t="shared" si="7"/>
        <v>1.9778219892981137</v>
      </c>
      <c r="I17" s="3">
        <f t="shared" si="7"/>
        <v>1.8586778913041728</v>
      </c>
      <c r="J17" s="3">
        <f t="shared" si="7"/>
        <v>1.7575025415588725</v>
      </c>
      <c r="K17" s="3">
        <f t="shared" si="7"/>
        <v>1.672763436778012</v>
      </c>
    </row>
    <row r="18" spans="1:11" ht="15">
      <c r="A18" s="18" t="s">
        <v>85</v>
      </c>
      <c r="B18" s="3">
        <f aca="true" t="shared" si="8" ref="B18:K18">SQRT(B7^2+B8^2+2*B9*B7*B8)</f>
        <v>0.18027756377319948</v>
      </c>
      <c r="C18" s="3">
        <f t="shared" si="8"/>
        <v>0.17320508075688776</v>
      </c>
      <c r="D18" s="3">
        <f t="shared" si="8"/>
        <v>0.18027756377319948</v>
      </c>
      <c r="E18" s="3">
        <f t="shared" si="8"/>
        <v>0.2</v>
      </c>
      <c r="F18" s="3">
        <f t="shared" si="8"/>
        <v>0.22912878474779202</v>
      </c>
      <c r="G18" s="3">
        <f t="shared" si="8"/>
        <v>0.2645751311064591</v>
      </c>
      <c r="H18" s="3">
        <f t="shared" si="8"/>
        <v>0.30413812651491096</v>
      </c>
      <c r="I18" s="3">
        <f t="shared" si="8"/>
        <v>0.3464101615137754</v>
      </c>
      <c r="J18" s="3">
        <f t="shared" si="8"/>
        <v>0.39051248379533265</v>
      </c>
      <c r="K18" s="3">
        <f t="shared" si="8"/>
        <v>0.4358898943540673</v>
      </c>
    </row>
    <row r="19" spans="1:11" ht="12">
      <c r="A19" t="s">
        <v>87</v>
      </c>
      <c r="B19" s="8">
        <f aca="true" t="shared" si="9" ref="B19:J19">B6*B14*(B17/(B17-1))</f>
        <v>6.148564132950581</v>
      </c>
      <c r="C19" s="8">
        <f t="shared" si="9"/>
        <v>5.483803268617425</v>
      </c>
      <c r="D19" s="8">
        <f t="shared" si="9"/>
        <v>5.2163649828320295</v>
      </c>
      <c r="E19" s="8">
        <f t="shared" si="9"/>
        <v>5.220937271229855</v>
      </c>
      <c r="F19" s="8">
        <f t="shared" si="9"/>
        <v>5.401953485837653</v>
      </c>
      <c r="G19" s="8">
        <f t="shared" si="9"/>
        <v>5.696771952625839</v>
      </c>
      <c r="H19" s="8">
        <f t="shared" si="9"/>
        <v>6.068043092540204</v>
      </c>
      <c r="I19" s="8">
        <f t="shared" si="9"/>
        <v>6.493743149067871</v>
      </c>
      <c r="J19" s="8">
        <f t="shared" si="9"/>
        <v>6.96038275175456</v>
      </c>
      <c r="K19" s="8">
        <f>K6*K14*(K17/(K17-1))</f>
        <v>7.459219743521665</v>
      </c>
    </row>
    <row r="20" spans="1:11" ht="12">
      <c r="A20" t="s">
        <v>14</v>
      </c>
      <c r="B20" s="8">
        <f aca="true" t="shared" si="10" ref="B20:K20">0.5*(B18^2)*((B5/B14)^2)*B22+(B9*B7*B8+B11+B12)*(B5/B14)*B21-B10*B15</f>
        <v>-9.43689570931383E-16</v>
      </c>
      <c r="C20" s="8">
        <f t="shared" si="10"/>
        <v>0</v>
      </c>
      <c r="D20" s="8">
        <f t="shared" si="10"/>
        <v>0</v>
      </c>
      <c r="E20" s="8">
        <f t="shared" si="10"/>
        <v>0</v>
      </c>
      <c r="F20" s="8">
        <f t="shared" si="10"/>
        <v>0</v>
      </c>
      <c r="G20" s="8">
        <f t="shared" si="10"/>
        <v>0</v>
      </c>
      <c r="H20" s="8">
        <f t="shared" si="10"/>
        <v>0</v>
      </c>
      <c r="I20" s="8">
        <f t="shared" si="10"/>
        <v>0</v>
      </c>
      <c r="J20" s="8">
        <f t="shared" si="10"/>
        <v>0</v>
      </c>
      <c r="K20" s="8">
        <f t="shared" si="10"/>
        <v>0</v>
      </c>
    </row>
    <row r="21" spans="1:11" ht="12">
      <c r="A21" t="s">
        <v>18</v>
      </c>
      <c r="B21" s="8">
        <f aca="true" t="shared" si="11" ref="B21:K21">B23*B17*((B5/B14)^(B17-1))</f>
        <v>0.3429812203558838</v>
      </c>
      <c r="C21" s="8">
        <f t="shared" si="11"/>
        <v>0.29573991497870156</v>
      </c>
      <c r="D21" s="8">
        <f t="shared" si="11"/>
        <v>0.2731859591561465</v>
      </c>
      <c r="E21" s="8">
        <f t="shared" si="11"/>
        <v>0.2735927411494318</v>
      </c>
      <c r="F21" s="8">
        <f t="shared" si="11"/>
        <v>0.2890930385858761</v>
      </c>
      <c r="G21" s="8">
        <f t="shared" si="11"/>
        <v>0.31209410130284765</v>
      </c>
      <c r="H21" s="8">
        <f t="shared" si="11"/>
        <v>0.3378092632225549</v>
      </c>
      <c r="I21" s="8">
        <f t="shared" si="11"/>
        <v>0.36376106856907714</v>
      </c>
      <c r="J21" s="8">
        <f t="shared" si="11"/>
        <v>0.38880716106333213</v>
      </c>
      <c r="K21" s="8">
        <f t="shared" si="11"/>
        <v>0.41248272283978027</v>
      </c>
    </row>
    <row r="22" spans="1:11" ht="12">
      <c r="A22" t="s">
        <v>15</v>
      </c>
      <c r="B22" s="8">
        <f aca="true" t="shared" si="12" ref="B22:K22">B23*B17*(B17-1)*(B5/B14)^(B17-2)</f>
        <v>0.004901966186583954</v>
      </c>
      <c r="C22" s="8">
        <f t="shared" si="12"/>
        <v>0.005358031508449316</v>
      </c>
      <c r="D22" s="8">
        <f t="shared" si="12"/>
        <v>0.0055466352596485954</v>
      </c>
      <c r="E22" s="8">
        <f t="shared" si="12"/>
        <v>0.005543458390838197</v>
      </c>
      <c r="F22" s="8">
        <f t="shared" si="12"/>
        <v>0.0054160860370814495</v>
      </c>
      <c r="G22" s="8">
        <f t="shared" si="12"/>
        <v>0.005207794654254436</v>
      </c>
      <c r="H22" s="8">
        <f t="shared" si="12"/>
        <v>0.0049547598865141325</v>
      </c>
      <c r="I22" s="8">
        <f t="shared" si="12"/>
        <v>0.004685303809461716</v>
      </c>
      <c r="J22" s="8">
        <f t="shared" si="12"/>
        <v>0.00441783619022646</v>
      </c>
      <c r="K22" s="8">
        <f t="shared" si="12"/>
        <v>0.00416254941343864</v>
      </c>
    </row>
    <row r="23" spans="1:11" ht="12">
      <c r="A23" s="9" t="s">
        <v>7</v>
      </c>
      <c r="B23" s="12">
        <f aca="true" t="shared" si="13" ref="B23:K23">((B19/B14)-B6)/((B19/B14)^B17)</f>
        <v>0.003211893003171816</v>
      </c>
      <c r="C23" s="12">
        <f t="shared" si="13"/>
        <v>0.0008394260913647983</v>
      </c>
      <c r="D23" s="12">
        <f t="shared" si="13"/>
        <v>0.0003944098630505608</v>
      </c>
      <c r="E23" s="12">
        <f t="shared" si="13"/>
        <v>0.00040012068767288555</v>
      </c>
      <c r="F23" s="12">
        <f t="shared" si="13"/>
        <v>0.0006776721996822345</v>
      </c>
      <c r="G23" s="12">
        <f t="shared" si="13"/>
        <v>0.0013820058254786468</v>
      </c>
      <c r="H23" s="12">
        <f t="shared" si="13"/>
        <v>0.002812070988964166</v>
      </c>
      <c r="I23" s="12">
        <f t="shared" si="13"/>
        <v>0.005314494626306909</v>
      </c>
      <c r="J23" s="12">
        <f t="shared" si="13"/>
        <v>0.009188038082937826</v>
      </c>
      <c r="K23" s="12">
        <f t="shared" si="13"/>
        <v>0.014618813394026289</v>
      </c>
    </row>
    <row r="24" spans="1:11" ht="12">
      <c r="A24" s="9" t="s">
        <v>141</v>
      </c>
      <c r="B24" s="8">
        <v>8.665292066571949</v>
      </c>
      <c r="C24" s="8">
        <v>4.731633856998106</v>
      </c>
      <c r="D24" s="8">
        <v>2.9798728200614644</v>
      </c>
      <c r="E24" s="8">
        <v>2.334980672546394</v>
      </c>
      <c r="F24" s="8">
        <v>2.192474313307512</v>
      </c>
      <c r="G24" s="8">
        <v>2.277726368872719</v>
      </c>
      <c r="H24" s="8">
        <v>2.467493920278626</v>
      </c>
      <c r="I24" s="8">
        <v>2.701285637378244</v>
      </c>
      <c r="J24" s="8">
        <v>2.946907185792884</v>
      </c>
      <c r="K24" s="8">
        <v>3.186655060271901</v>
      </c>
    </row>
    <row r="25" spans="1:22" ht="12">
      <c r="A25" t="str">
        <f>A15</f>
        <v>ROV (P,Q)</v>
      </c>
      <c r="B25" s="3">
        <f aca="true" t="shared" si="14" ref="B25:K25">B15</f>
        <v>11.708949117631198</v>
      </c>
      <c r="C25" s="3">
        <f t="shared" si="14"/>
        <v>8.930052514082204</v>
      </c>
      <c r="D25" s="3">
        <f t="shared" si="14"/>
        <v>7.738208448064303</v>
      </c>
      <c r="E25" s="3">
        <f t="shared" si="14"/>
        <v>7.758917404927684</v>
      </c>
      <c r="F25" s="3">
        <f t="shared" si="14"/>
        <v>8.569591643507326</v>
      </c>
      <c r="G25" s="3">
        <f t="shared" si="14"/>
        <v>9.84939805645012</v>
      </c>
      <c r="H25" s="3">
        <f t="shared" si="14"/>
        <v>11.386574560313393</v>
      </c>
      <c r="I25" s="3">
        <f t="shared" si="14"/>
        <v>13.04730530129089</v>
      </c>
      <c r="J25" s="3">
        <f t="shared" si="14"/>
        <v>14.74847221627978</v>
      </c>
      <c r="K25" s="3">
        <f t="shared" si="14"/>
        <v>16.439173396978056</v>
      </c>
      <c r="L25" s="9" t="s">
        <v>3</v>
      </c>
      <c r="M25" s="8" t="s">
        <v>3</v>
      </c>
      <c r="N25" s="8" t="s">
        <v>3</v>
      </c>
      <c r="O25" s="8" t="s">
        <v>3</v>
      </c>
      <c r="P25" s="8" t="s">
        <v>3</v>
      </c>
      <c r="Q25" s="8" t="s">
        <v>3</v>
      </c>
      <c r="R25" s="8" t="s">
        <v>3</v>
      </c>
      <c r="S25" s="8" t="s">
        <v>3</v>
      </c>
      <c r="T25" s="8" t="s">
        <v>3</v>
      </c>
      <c r="U25" s="8" t="s">
        <v>3</v>
      </c>
      <c r="V25" s="8" t="s">
        <v>3</v>
      </c>
    </row>
    <row r="26" spans="1:22" ht="12">
      <c r="A26" t="str">
        <f>A19</f>
        <v>X*</v>
      </c>
      <c r="B26" s="3">
        <f aca="true" t="shared" si="15" ref="B26:K26">B19</f>
        <v>6.148564132950581</v>
      </c>
      <c r="C26" s="3">
        <f t="shared" si="15"/>
        <v>5.483803268617425</v>
      </c>
      <c r="D26" s="3">
        <f t="shared" si="15"/>
        <v>5.2163649828320295</v>
      </c>
      <c r="E26" s="3">
        <f t="shared" si="15"/>
        <v>5.220937271229855</v>
      </c>
      <c r="F26" s="3">
        <f t="shared" si="15"/>
        <v>5.401953485837653</v>
      </c>
      <c r="G26" s="3">
        <f t="shared" si="15"/>
        <v>5.696771952625839</v>
      </c>
      <c r="H26" s="3">
        <f t="shared" si="15"/>
        <v>6.068043092540204</v>
      </c>
      <c r="I26" s="3">
        <f t="shared" si="15"/>
        <v>6.493743149067871</v>
      </c>
      <c r="J26" s="3">
        <f t="shared" si="15"/>
        <v>6.96038275175456</v>
      </c>
      <c r="K26" s="3">
        <f t="shared" si="15"/>
        <v>7.459219743521665</v>
      </c>
      <c r="L26" s="9" t="s">
        <v>3</v>
      </c>
      <c r="M26" s="8" t="s">
        <v>3</v>
      </c>
      <c r="N26" s="8" t="s">
        <v>3</v>
      </c>
      <c r="O26" s="8" t="s">
        <v>3</v>
      </c>
      <c r="P26" s="8" t="s">
        <v>3</v>
      </c>
      <c r="Q26" s="8" t="s">
        <v>3</v>
      </c>
      <c r="R26" s="8" t="s">
        <v>3</v>
      </c>
      <c r="S26" s="8" t="s">
        <v>3</v>
      </c>
      <c r="T26" s="8" t="s">
        <v>140</v>
      </c>
      <c r="U26" s="8" t="s">
        <v>3</v>
      </c>
      <c r="V26" s="8" t="s">
        <v>3</v>
      </c>
    </row>
    <row r="49" spans="1:2" ht="12">
      <c r="A49" s="1" t="s">
        <v>78</v>
      </c>
      <c r="B49" s="3">
        <v>0</v>
      </c>
    </row>
  </sheetData>
  <sheetProtection/>
  <printOptions horizontalCentered="1"/>
  <pageMargins left="0.7" right="0.7" top="0.75" bottom="0.75" header="0.3" footer="0.3"/>
  <pageSetup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Paxson</dc:creator>
  <cp:keywords/>
  <dc:description/>
  <cp:lastModifiedBy>Dean Paxson</cp:lastModifiedBy>
  <cp:lastPrinted>2018-01-19T20:36:44Z</cp:lastPrinted>
  <dcterms:created xsi:type="dcterms:W3CDTF">2002-08-23T16:38:18Z</dcterms:created>
  <dcterms:modified xsi:type="dcterms:W3CDTF">2018-02-10T13:06:28Z</dcterms:modified>
  <cp:category/>
  <cp:version/>
  <cp:contentType/>
  <cp:contentStatus/>
</cp:coreProperties>
</file>